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00" tabRatio="715" activeTab="4"/>
  </bookViews>
  <sheets>
    <sheet name="DataInput" sheetId="1" r:id="rId1"/>
    <sheet name="Result" sheetId="2" r:id="rId2"/>
    <sheet name="Summary" sheetId="3" r:id="rId3"/>
    <sheet name="IntCalcs" sheetId="4" r:id="rId4"/>
    <sheet name="parameters" sheetId="5" r:id="rId5"/>
    <sheet name="Thresholds incomes partners" sheetId="6" r:id="rId6"/>
    <sheet name="Param_Calculette" sheetId="7" r:id="rId7"/>
    <sheet name="database" sheetId="8" r:id="rId8"/>
    <sheet name="TradInput" sheetId="9" r:id="rId9"/>
    <sheet name="TradResult" sheetId="10" r:id="rId10"/>
    <sheet name="Sheet1" sheetId="11" r:id="rId11"/>
  </sheets>
  <externalReferences>
    <externalReference r:id="rId14"/>
    <externalReference r:id="rId15"/>
  </externalReferences>
  <definedNames>
    <definedName name="_xlfn.SINGLE" hidden="1">#NAME?</definedName>
    <definedName name="à_tab" localSheetId="5">'[2]parameters'!$D$68:$I$82</definedName>
    <definedName name="à_tab">'parameters'!$D$45:$I$59</definedName>
    <definedName name="a_Transfer_trans">'parameters'!$E$18</definedName>
    <definedName name="aChildren_flatN" localSheetId="5">'[2]parameters'!$D$6</definedName>
    <definedName name="aChildren_flatN">'parameters'!$D$6</definedName>
    <definedName name="aChildren_flatO">#REF!</definedName>
    <definedName name="aExpatriation_minN" localSheetId="5">'[2]parameters'!$D$4</definedName>
    <definedName name="aExpatriation_minN">'parameters'!$D$4</definedName>
    <definedName name="aExpatriation_minO">#REF!</definedName>
    <definedName name="aExpatriation_rateN" localSheetId="5">'[2]parameters'!$C$4</definedName>
    <definedName name="aExpatriation_rateN">'parameters'!$C$4</definedName>
    <definedName name="aExpatriation_rateO">#REF!</definedName>
    <definedName name="aFormerTransferRate">'parameters'!#REF!</definedName>
    <definedName name="aHousehold_minN" localSheetId="5">'[2]parameters'!$D$5</definedName>
    <definedName name="aHousehold_minN">'parameters'!$D$5</definedName>
    <definedName name="aHousehold_minO">#REF!</definedName>
    <definedName name="ahousehold_rateN" localSheetId="5">'[2]parameters'!$C$5</definedName>
    <definedName name="ahousehold_rateN">'parameters'!$C$5</definedName>
    <definedName name="aHousehold_rateO">#REF!</definedName>
    <definedName name="AllocParen" localSheetId="5">'[2]database'!$K$2</definedName>
    <definedName name="AllocParen">'database'!$I$2</definedName>
    <definedName name="aOvertimeN" localSheetId="5">'[2]parameters'!$D$16</definedName>
    <definedName name="aOvertimeN">'parameters'!#REF!</definedName>
    <definedName name="aOvertimeO">#REF!</definedName>
    <definedName name="aSchool_flatN" localSheetId="5">'[2]parameters'!$D$7</definedName>
    <definedName name="aSchool_flatN">'parameters'!$D$7</definedName>
    <definedName name="aSchool_flatO">#REF!</definedName>
    <definedName name="aSchoolRateN">'parameters'!$J$1</definedName>
    <definedName name="C.C." localSheetId="5">'[2]Result'!$D$20</definedName>
    <definedName name="C.C.">'Result'!$D$13</definedName>
    <definedName name="cAccident_rateN" localSheetId="5">'[2]parameters'!$C$11</definedName>
    <definedName name="cAccident_rateN">'parameters'!$C$11</definedName>
    <definedName name="cAccident_rateO">#REF!</definedName>
    <definedName name="Career_ChangeOverTab2" localSheetId="5">'[2]parameters'!#REF!</definedName>
    <definedName name="Career_ChangeOverTab2">'parameters'!#REF!</definedName>
    <definedName name="CareerChangeoverTab" localSheetId="5">'[2]parameters'!$L$43:$M$66</definedName>
    <definedName name="CareerChangeoverTab">'parameters'!#REF!</definedName>
    <definedName name="CareerChangeoverTab2" localSheetId="5">'[2]parameters'!#REF!</definedName>
    <definedName name="CareerChangeoverTab2">'parameters'!#REF!</definedName>
    <definedName name="CareerCoeff" localSheetId="5">'[2]database'!$P$2</definedName>
    <definedName name="CareerCoeff">'database'!#REF!</definedName>
    <definedName name="cCompIns" localSheetId="5">'[2]parameters'!$C$14</definedName>
    <definedName name="cCompIns">'parameters'!$C$14</definedName>
    <definedName name="CCtabN" localSheetId="5">'[2]parameters'!$L$4:$N$36</definedName>
    <definedName name="CCtabN">'parameters'!$L$4:$N$36</definedName>
    <definedName name="CCtabO">#REF!</definedName>
    <definedName name="cDepIns" localSheetId="5">'[2]parameters'!$C$15</definedName>
    <definedName name="cDepIns">'parameters'!$C$15</definedName>
    <definedName name="ChildAllowTab">'Param_Calculette'!$D$12:$E$12</definedName>
    <definedName name="Children" localSheetId="5">'[2]database'!$R$2</definedName>
    <definedName name="Children">'database'!$M$2</definedName>
    <definedName name="CompIns" localSheetId="5">'[2]database'!$AB$2</definedName>
    <definedName name="CompIns">'database'!$S$2</definedName>
    <definedName name="cPension_rateN" localSheetId="5">'[2]parameters'!$C$9</definedName>
    <definedName name="cPension_rateN">'parameters'!$C$9</definedName>
    <definedName name="cPension_rateO">#REF!</definedName>
    <definedName name="cRelAcc">'parameters'!$C$15</definedName>
    <definedName name="cRelMal">'parameters'!$C$14</definedName>
    <definedName name="cSicknes_rateN" localSheetId="5">'[2]parameters'!$C$10</definedName>
    <definedName name="cSicknes_rateN">'parameters'!$C$10</definedName>
    <definedName name="cSicknes_rateO">#REF!</definedName>
    <definedName name="cUnemp_abateN" localSheetId="5">'[2]parameters'!$C$13</definedName>
    <definedName name="cUnemp_abateN">'parameters'!$C$13</definedName>
    <definedName name="cUnemp_abateO">#REF!</definedName>
    <definedName name="cUnemploy_rateN" localSheetId="5">'[2]parameters'!$C$12</definedName>
    <definedName name="cUnemploy_rateN">'parameters'!$C$12</definedName>
    <definedName name="cUnemploy_rateO">#REF!</definedName>
    <definedName name="DatabaseRemun">'[1]AmountsDB'!$A$2:$O$108</definedName>
    <definedName name="DateAdap">'[1]Param_All'!$B$2</definedName>
    <definedName name="de_tab" localSheetId="5">'[2]parameters'!$C$68:$I$82</definedName>
    <definedName name="de_tab">'parameters'!$C$45:$I$59</definedName>
    <definedName name="DepIns" localSheetId="5">'[2]database'!$AC$2</definedName>
    <definedName name="DepIns">'database'!$T$2</definedName>
    <definedName name="DifLivCond" localSheetId="5">'[2]database'!$AE$2</definedName>
    <definedName name="DifLivCond">'database'!$V$2</definedName>
    <definedName name="Display">'Result'!$G$1</definedName>
    <definedName name="EMtrf0" localSheetId="5">'[2]database'!$AF$2</definedName>
    <definedName name="EMtrf0">'database'!$W$2</definedName>
    <definedName name="EMtrf1" localSheetId="5">'[2]database'!$AH$2</definedName>
    <definedName name="EMtrf1">'database'!$Y$2</definedName>
    <definedName name="EMtrf2" localSheetId="5">'[2]database'!$AL$2</definedName>
    <definedName name="EMtrf2">'database'!$AC$2</definedName>
    <definedName name="Expat" localSheetId="5">'[2]database'!$U$2</definedName>
    <definedName name="Expat">'database'!$N$2</definedName>
    <definedName name="fullTimeN" localSheetId="5">'[2]Result'!$G$11</definedName>
    <definedName name="fullTimeN">'Result'!$G$4</definedName>
    <definedName name="fullTimeO">'IntCalcs'!#REF!</definedName>
    <definedName name="gfzEG">'Param_Calculette'!$J$12:$K$12</definedName>
    <definedName name="GradeN" localSheetId="5">'[2]database'!$N$2</definedName>
    <definedName name="GradeN">'database'!$J$2</definedName>
    <definedName name="GradeNm04" localSheetId="5">'[2]database'!$L$2</definedName>
    <definedName name="GradeNm04">'database'!#REF!</definedName>
    <definedName name="GradeO" localSheetId="5">'[2]database'!$E$2</definedName>
    <definedName name="GradeO">'database'!#REF!</definedName>
    <definedName name="GrilleAfterRef">'[1]GrilleFonct'!$A$7:$I$22</definedName>
    <definedName name="grilleFact" localSheetId="5">'[2]parameters'!$C$86:$K$107</definedName>
    <definedName name="grilleFact">'parameters'!#REF!</definedName>
    <definedName name="grilleN" localSheetId="5">'[2]parameters'!$B$21:$J$37</definedName>
    <definedName name="grilleN">'parameters'!$B$21:$J$39</definedName>
    <definedName name="grilleO">#REF!</definedName>
    <definedName name="GrilleOupdated" localSheetId="5">'[2]parameters'!$B$40:$J$62</definedName>
    <definedName name="GrilleOupdated">'parameters'!#REF!</definedName>
    <definedName name="HoUplus" localSheetId="5">'[2]database'!$M$2</definedName>
    <definedName name="HoUplus">'database'!#REF!</definedName>
    <definedName name="Household" localSheetId="5">'[2]database'!$Q$2</definedName>
    <definedName name="Household">'database'!$L$2</definedName>
    <definedName name="iAllocParen" localSheetId="5">'[2]database'!$K$5</definedName>
    <definedName name="iAllocParen">'database'!$I$5</definedName>
    <definedName name="iChildren" localSheetId="5">'[2]database'!$R$5</definedName>
    <definedName name="iChildren">'database'!$M$5</definedName>
    <definedName name="iCompIns" localSheetId="5">'[2]database'!$AB$5</definedName>
    <definedName name="iCompIns">'database'!$S$5</definedName>
    <definedName name="iDepIns" localSheetId="5">'[2]database'!$AC$5</definedName>
    <definedName name="iDepIns">'database'!$T$5</definedName>
    <definedName name="iDifLivCond" localSheetId="5">'[2]database'!$AE$5</definedName>
    <definedName name="iDifLivCond">'database'!$V$5</definedName>
    <definedName name="iEMtrf0" localSheetId="5">'[2]database'!$AF$5</definedName>
    <definedName name="iEMtrf0">'database'!$W$5</definedName>
    <definedName name="iEMtrf1" localSheetId="5">'[2]database'!$AH$5</definedName>
    <definedName name="iEMtrf1">'database'!$Y$5</definedName>
    <definedName name="iEMtrf2" localSheetId="5">'[2]database'!$AL$5</definedName>
    <definedName name="iEMtrf2">'database'!$AC$5</definedName>
    <definedName name="iExpat" localSheetId="5">'[2]database'!$U$5</definedName>
    <definedName name="iExpat">'database'!$N$5</definedName>
    <definedName name="iGrade" localSheetId="5">'[2]database'!$E$5</definedName>
    <definedName name="iGrade">'database'!#REF!</definedName>
    <definedName name="iGradeN" localSheetId="5">'[2]database'!$N$5</definedName>
    <definedName name="iGradeN">'database'!$J$5</definedName>
    <definedName name="iHoUplus" localSheetId="5">'[2]database'!$M$5</definedName>
    <definedName name="iHoUplus">'database'!#REF!</definedName>
    <definedName name="iHousehold" localSheetId="5">'[2]database'!$Q$5</definedName>
    <definedName name="iHousehold">'database'!$L$5</definedName>
    <definedName name="iIncTBAplus">'[2]database'!$M$16</definedName>
    <definedName name="iIsole" localSheetId="5">'[2]database'!$J$5</definedName>
    <definedName name="iIsole">'database'!$G$5</definedName>
    <definedName name="iLanguage" localSheetId="5">'[2]database'!$A$5</definedName>
    <definedName name="iLanguage">'database'!$A$5</definedName>
    <definedName name="iLangue" localSheetId="5">'[2]database'!$A$5</definedName>
    <definedName name="iLangue">'database'!$A$5</definedName>
    <definedName name="iLivCond" localSheetId="5">'[2]database'!$AD$5</definedName>
    <definedName name="iLivCond">'database'!$U$5</definedName>
    <definedName name="IncTBAplus">'[2]database'!$M$13</definedName>
    <definedName name="IndSecTabN" localSheetId="5">'[2]parameters'!$E$4:$F$8</definedName>
    <definedName name="IndSecTabN">'parameters'!$E$4:$F$8</definedName>
    <definedName name="IndSecTabO">#REF!</definedName>
    <definedName name="Input" localSheetId="8">'TradInput'!#REF!</definedName>
    <definedName name="iOvertime" localSheetId="5">'[2]database'!$T$5</definedName>
    <definedName name="iOvertime">'database'!#REF!</definedName>
    <definedName name="iParental" localSheetId="5">'[2]database'!$H$5</definedName>
    <definedName name="iParental">'database'!$F$5</definedName>
    <definedName name="iPartTime" localSheetId="5">'[2]database'!$AS$11</definedName>
    <definedName name="iPartTime">'database'!$AJ$11</definedName>
    <definedName name="iPensionFull" localSheetId="5">'[2]database'!$G$5</definedName>
    <definedName name="iPensionFull">'database'!$E$5</definedName>
    <definedName name="iPlace" localSheetId="5">'[2]database'!$C$5</definedName>
    <definedName name="iPlace">'database'!$C$5</definedName>
    <definedName name="iProlong" localSheetId="5">'[2]database'!$I$5</definedName>
    <definedName name="iProlong">'database'!$H$5</definedName>
    <definedName name="iSco05" localSheetId="5">'[2]database'!$V$5</definedName>
    <definedName name="iSco05">'database'!$O$5</definedName>
    <definedName name="iSco11plusNofee" localSheetId="5">'[2]database'!$X$5</definedName>
    <definedName name="iSco11plusNofee">'database'!#REF!</definedName>
    <definedName name="iSco610Nofee" localSheetId="5">'[2]database'!$W$5</definedName>
    <definedName name="iSco610Nofee">'database'!#REF!</definedName>
    <definedName name="iScoUniv" localSheetId="5">'[2]database'!$Y$5</definedName>
    <definedName name="iScoUniv">'database'!$P$5</definedName>
    <definedName name="iScoUniv50" localSheetId="5">'[2]database'!$Z$5</definedName>
    <definedName name="iScoUniv50">'database'!$Q$5</definedName>
    <definedName name="iSecretary" localSheetId="5">'[2]database'!$S$5</definedName>
    <definedName name="iSecretary">'database'!#REF!</definedName>
    <definedName name="Isole" localSheetId="5">'[2]database'!$J$2</definedName>
    <definedName name="Isole">'database'!$G$2</definedName>
    <definedName name="iStep" localSheetId="5">'[2]database'!$F$5</definedName>
    <definedName name="iStep">'database'!#REF!</definedName>
    <definedName name="iStepN" localSheetId="5">'[2]database'!$O$5</definedName>
    <definedName name="iStepN">'database'!$K$5</definedName>
    <definedName name="iTemp" localSheetId="5">'[2]database'!$D$5</definedName>
    <definedName name="iTemp">'database'!$D$5</definedName>
    <definedName name="iTrfSco1" localSheetId="5">'[2]database'!$AJ$5</definedName>
    <definedName name="iTrfSco1">'database'!$AA$5</definedName>
    <definedName name="iTrfSco2" localSheetId="5">'[2]database'!$AN$5</definedName>
    <definedName name="iTrfSco2">'database'!$AE$5</definedName>
    <definedName name="iTrfUniv1" localSheetId="5">'[2]database'!$AK$5</definedName>
    <definedName name="iTrfUniv1">'database'!$AB$5</definedName>
    <definedName name="iTrfUniv2" localSheetId="5">'[2]database'!$AO$5</definedName>
    <definedName name="iTrfUniv2">'database'!$AF$5</definedName>
    <definedName name="iTripNum" localSheetId="5">'[2]database'!$AP$5</definedName>
    <definedName name="iTripNum">'database'!$AG$5</definedName>
    <definedName name="iTripNumChild" localSheetId="5">'[2]database'!$AQ$5</definedName>
    <definedName name="iTripNumChild">'database'!$AH$5</definedName>
    <definedName name="iYearcalc">'database'!$B$5</definedName>
    <definedName name="KmRateTab" localSheetId="5">'[2]parameters'!$L$73:$N$79</definedName>
    <definedName name="KmRateTab">'parameters'!$L$47:$N$53</definedName>
    <definedName name="langue" localSheetId="5">'[2]database'!$A$2</definedName>
    <definedName name="langue">'database'!$A$2</definedName>
    <definedName name="LivCond" localSheetId="5">'[2]database'!$AD$2</definedName>
    <definedName name="LivCond">'database'!$U$2</definedName>
    <definedName name="minTaxable" localSheetId="5">'[2]parameters'!$C$69</definedName>
    <definedName name="minTaxable">'parameters'!$C$46</definedName>
    <definedName name="MinVital_N" localSheetId="5">'[2]parameters'!$C$37</definedName>
    <definedName name="MinVital_N">'parameters'!$C$17</definedName>
    <definedName name="MinVital_O">#REF!</definedName>
    <definedName name="MSbonus_N" localSheetId="5">'[2]parameters'!$M$82:$N$84</definedName>
    <definedName name="MSbonus_N">'parameters'!$M$56:$N$58</definedName>
    <definedName name="NomProt">#REF!</definedName>
    <definedName name="Overtime" localSheetId="5">'[2]database'!$T$2</definedName>
    <definedName name="Overtime">'database'!#REF!</definedName>
    <definedName name="Parental" localSheetId="5">'[2]database'!$H$2</definedName>
    <definedName name="Parental">'database'!$F$2</definedName>
    <definedName name="PartTime" localSheetId="5">'[2]database'!$AS$2</definedName>
    <definedName name="PartTime">'database'!$AJ$2</definedName>
    <definedName name="PctFormTrsfTab">'Param_Calculette'!$J$12:$K$12</definedName>
    <definedName name="PensionFull" localSheetId="5">'[2]database'!$G$2</definedName>
    <definedName name="PensionFull">'database'!$E$2</definedName>
    <definedName name="PensionRateTAB">'parameters'!$J$12:$N$13</definedName>
    <definedName name="Place" localSheetId="5">'[2]database'!$C$2</definedName>
    <definedName name="Place">'database'!$C$2</definedName>
    <definedName name="PrelSpec_tab">'parameters'!$H$14:$O$17</definedName>
    <definedName name="PreschoolAllowTab">'Param_Calculette'!$G$12:$H$12</definedName>
    <definedName name="_xlnm.Print_Area" localSheetId="0">'DataInput'!$B$2:$F$35</definedName>
    <definedName name="_xlnm.Print_Area" localSheetId="1">'Result'!$B$1:$I$42</definedName>
    <definedName name="_xlnm.Print_Area" localSheetId="5">'Thresholds incomes partners'!$A$1:$L$55</definedName>
    <definedName name="_xlnm.Print_Area" localSheetId="8">'TradInput'!$A$4:$A$69</definedName>
    <definedName name="Prolong" localSheetId="5">'[2]database'!$I$2</definedName>
    <definedName name="Prolong">'database'!$H$2</definedName>
    <definedName name="School" localSheetId="5">'[2]database'!$AA$2:$AA$6</definedName>
    <definedName name="School">'database'!$R$2:$R$4</definedName>
    <definedName name="school100" localSheetId="8">'TradInput'!$A$40</definedName>
    <definedName name="school200" localSheetId="8">'TradInput'!$A$41</definedName>
    <definedName name="school36" localSheetId="8">'TradInput'!#REF!</definedName>
    <definedName name="school50" localSheetId="8">'TradInput'!#REF!</definedName>
    <definedName name="SchoolAllowTab">'Param_Calculette'!#REF!</definedName>
    <definedName name="Sco05">'database'!$O$2</definedName>
    <definedName name="Sco11plusNofee">'database'!#REF!</definedName>
    <definedName name="Sco610Nofee">'database'!#REF!</definedName>
    <definedName name="ScoAbroad" localSheetId="5">'[2]parameters'!$F$14</definedName>
    <definedName name="ScoAbroad">'parameters'!$F$12</definedName>
    <definedName name="scoT">#REF!</definedName>
    <definedName name="scoTab_N" localSheetId="5">'[2]parameters'!$F$11:$F$15</definedName>
    <definedName name="scoTab_N">'parameters'!$F$11:$F$13</definedName>
    <definedName name="ScoTab_O">#REF!</definedName>
    <definedName name="Scotab_Transit" localSheetId="5">'[2]parameters'!#REF!</definedName>
    <definedName name="Scotab_Transit">'parameters'!#REF!</definedName>
    <definedName name="ScoUniv">'database'!$P$2</definedName>
    <definedName name="ScoUniv50">'database'!$Q$2</definedName>
    <definedName name="Secretary" localSheetId="5">'[2]database'!$S$2</definedName>
    <definedName name="Secretary">'database'!#REF!</definedName>
    <definedName name="SpecLevy_tab">'parameters'!$H$14:$O$17</definedName>
    <definedName name="SpecLevyTab">'Param_Calculette'!$D$10:$L$11</definedName>
    <definedName name="StepN" localSheetId="5">'[2]database'!$O$2</definedName>
    <definedName name="StepN">'database'!$K$2</definedName>
    <definedName name="StepO" localSheetId="5">'[2]database'!$F$2</definedName>
    <definedName name="StepO">'database'!#REF!</definedName>
    <definedName name="tChildren" localSheetId="5">'[2]database'!$R$8:$R$16</definedName>
    <definedName name="tChildren">'database'!$M$8:$M$16</definedName>
    <definedName name="tCompIns" localSheetId="5">'[2]database'!$AB$8:$AB$9</definedName>
    <definedName name="tCompIns">'database'!$S$8:$S$9</definedName>
    <definedName name="tDepIns" localSheetId="5">'[2]database'!$AC$8:$AC$9</definedName>
    <definedName name="tDepIns">'database'!$T$8:$T$9</definedName>
    <definedName name="tDifLivCond" localSheetId="5">'[2]database'!$AE$8:$AE$11</definedName>
    <definedName name="tDifLivCond">'database'!$V$8:$V$11</definedName>
    <definedName name="tEM" localSheetId="5">'[2]database'!$AF$8:$AF$35</definedName>
    <definedName name="tEM">'database'!$W$8:$W$35</definedName>
    <definedName name="Temp" localSheetId="5">'[2]database'!$D$2</definedName>
    <definedName name="Temp">'database'!$D$2</definedName>
    <definedName name="TempContr_Tab">'parameters'!$H$14:$O$17</definedName>
    <definedName name="TempContRateStart">'parameters'!$H$17</definedName>
    <definedName name="TempContrRateN" localSheetId="5">'[2]parameters'!$C$8</definedName>
    <definedName name="TempContrRateN">'parameters'!$C$8</definedName>
    <definedName name="TempContrRateO">#REF!</definedName>
    <definedName name="tExpats" localSheetId="5">'[2]database'!$U$8:$U$10</definedName>
    <definedName name="tExpats">'database'!$N$8:$N$10</definedName>
    <definedName name="tExpats2" localSheetId="5">'[2]database'!$U$13:$U$15</definedName>
    <definedName name="tExpats2">'database'!$N$13:$N$15</definedName>
    <definedName name="tGrades" localSheetId="5">'[2]database'!$E$8:$E$30</definedName>
    <definedName name="tGrades">'database'!#REF!</definedName>
    <definedName name="tGradesN" localSheetId="5">'[2]database'!$N$8:$N$23</definedName>
    <definedName name="tGradesN">'database'!$J$8:$J$25</definedName>
    <definedName name="tHoUplus" localSheetId="5">'[2]database'!$M$8:$M$9</definedName>
    <definedName name="tHoUplus">'database'!#REF!</definedName>
    <definedName name="tHousehold" localSheetId="5">'[2]database'!$Q$8:$Q$9</definedName>
    <definedName name="tHousehold">'database'!$L$8:$L$9</definedName>
    <definedName name="tIncTBAplus">'[2]database'!$M$19:$M$21</definedName>
    <definedName name="tIsole" localSheetId="5">'[2]database'!$J$8:$J$9</definedName>
    <definedName name="tIsole">'database'!$G$8:$G$9</definedName>
    <definedName name="tLangue" localSheetId="5">'[2]database'!$A$8:$A$9</definedName>
    <definedName name="tLangue">'database'!$A$8:$A$9</definedName>
    <definedName name="tLivCond" localSheetId="5">'[2]database'!$AD$8:$AD$15</definedName>
    <definedName name="tLivCond">'database'!$U$8:$U$15</definedName>
    <definedName name="tOvertime" localSheetId="5">'[2]database'!$T$8:$T$9</definedName>
    <definedName name="tOvertime">'database'!#REF!</definedName>
    <definedName name="tParental" localSheetId="5">'[2]database'!$H$8:$H$9</definedName>
    <definedName name="tParental">'database'!$F$8:$F$9</definedName>
    <definedName name="tPartTime" localSheetId="5">'[2]database'!$AS$14:$AS$21</definedName>
    <definedName name="tPartTime">'database'!$AJ$14:$AJ$19</definedName>
    <definedName name="tPensionFull" localSheetId="5">'[2]database'!$G$8:$G$9</definedName>
    <definedName name="tPensionFull">'database'!$E$8:$E$9</definedName>
    <definedName name="tPlaces" localSheetId="5">'[2]database'!$C$8:$C$40</definedName>
    <definedName name="tPlaces">'database'!$C$8:$C$37</definedName>
    <definedName name="Trf0" localSheetId="5">'[2]database'!$AG$2</definedName>
    <definedName name="Trf0">'database'!$X$2</definedName>
    <definedName name="Trf1" localSheetId="5">'[2]database'!$AI$2</definedName>
    <definedName name="Trf1">'database'!$Z$2</definedName>
    <definedName name="Trf2" localSheetId="5">'[2]database'!$AM$2</definedName>
    <definedName name="Trf2">'database'!$AD$2</definedName>
    <definedName name="TrfSco1" localSheetId="5">'[2]database'!$AJ$2</definedName>
    <definedName name="TrfSco1">'database'!$AA$2</definedName>
    <definedName name="TrfSco2" localSheetId="5">'[2]database'!$AN$2</definedName>
    <definedName name="TrfSco2">'database'!$AE$2</definedName>
    <definedName name="TrfUniv1" localSheetId="5">'[2]database'!$AK$2</definedName>
    <definedName name="TrfUniv1">'database'!$AB$2</definedName>
    <definedName name="TrfUniv2" localSheetId="5">'[2]database'!$AO$2</definedName>
    <definedName name="TrfUniv2">'database'!$AF$2</definedName>
    <definedName name="TripKM" localSheetId="5">'[2]database'!$AR$2</definedName>
    <definedName name="TripKM">'database'!$AI$2</definedName>
    <definedName name="TripNum" localSheetId="5">'[2]database'!$AP$2</definedName>
    <definedName name="TripNum">'database'!$AG$2</definedName>
    <definedName name="TripNumChild">'database'!$AH$2</definedName>
    <definedName name="tSecretary" localSheetId="5">'[2]database'!$S$8:$S$9</definedName>
    <definedName name="tSecretary">'database'!#REF!</definedName>
    <definedName name="tSteps" localSheetId="5">'[2]database'!$F$8:$F$16</definedName>
    <definedName name="tSteps">'database'!#REF!</definedName>
    <definedName name="tStepsN" localSheetId="5">'[2]database'!$O$8:$O$15</definedName>
    <definedName name="tStepsN">'database'!$K$8:$K$14</definedName>
    <definedName name="tTemp" localSheetId="5">'[2]database'!$D$8:$D$11</definedName>
    <definedName name="tTemp">'database'!$D$8:$D$9</definedName>
    <definedName name="tYearcalc">'database'!$B$8:$B$15</definedName>
    <definedName name="UnivAbroad" localSheetId="5">'[2]parameters'!$F$15</definedName>
    <definedName name="UnivAbroad">'parameters'!$F$13</definedName>
  </definedNames>
  <calcPr fullCalcOnLoad="1" fullPrecision="0"/>
</workbook>
</file>

<file path=xl/comments1.xml><?xml version="1.0" encoding="utf-8"?>
<comments xmlns="http://schemas.openxmlformats.org/spreadsheetml/2006/main">
  <authors>
    <author>Pastor Julio</author>
  </authors>
  <commentList>
    <comment ref="D2" authorId="0">
      <text>
        <r>
          <rPr>
            <b/>
            <sz val="8"/>
            <rFont val="Tahoma"/>
            <family val="2"/>
          </rPr>
          <t>Julio Pastor</t>
        </r>
      </text>
    </comment>
  </commentList>
</comments>
</file>

<file path=xl/comments5.xml><?xml version="1.0" encoding="utf-8"?>
<comments xmlns="http://schemas.openxmlformats.org/spreadsheetml/2006/main">
  <authors>
    <author>dewalje</author>
  </authors>
  <commentList>
    <comment ref="B14" authorId="0">
      <text>
        <r>
          <rPr>
            <b/>
            <sz val="8"/>
            <rFont val="Tahoma"/>
            <family val="2"/>
          </rPr>
          <t>Assurance maladie complémentaire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Assurance accident personnes à charge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F3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dewalje</author>
  </authors>
  <commentList>
    <comment ref="B8" authorId="0">
      <text>
        <r>
          <rPr>
            <b/>
            <sz val="8"/>
            <rFont val="Tahoma"/>
            <family val="2"/>
          </rPr>
          <t>utilisé dans reform transition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<sst xmlns="http://schemas.openxmlformats.org/spreadsheetml/2006/main" count="1080" uniqueCount="768">
  <si>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</si>
  <si>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</si>
  <si>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</si>
  <si>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</si>
  <si>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</si>
  <si>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</si>
  <si>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</si>
  <si>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</si>
  <si>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</si>
  <si>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</si>
  <si>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</si>
  <si>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</si>
  <si>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</si>
  <si>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</si>
  <si>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</si>
  <si>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</si>
  <si>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</si>
  <si>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</si>
  <si>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</si>
  <si>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</si>
  <si>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</si>
  <si>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impôt MAX</t>
  </si>
  <si>
    <t>Impôt</t>
  </si>
  <si>
    <t>Salaire</t>
  </si>
  <si>
    <t>Taux</t>
  </si>
  <si>
    <t>Marginal</t>
  </si>
  <si>
    <t>Moyen</t>
  </si>
  <si>
    <t>Coeficient =</t>
  </si>
  <si>
    <t>Sal Impôsable</t>
  </si>
  <si>
    <t>Salaire Imposable</t>
  </si>
  <si>
    <t>de</t>
  </si>
  <si>
    <t>à</t>
  </si>
  <si>
    <t>Impôt calc</t>
  </si>
  <si>
    <t>Household allowance</t>
  </si>
  <si>
    <t>Pension contribution</t>
  </si>
  <si>
    <t>Sickness insurance contribution</t>
  </si>
  <si>
    <t>Accident insurance contribution</t>
  </si>
  <si>
    <t>Tax</t>
  </si>
  <si>
    <t>Expatriation allowance</t>
  </si>
  <si>
    <t>%</t>
  </si>
  <si>
    <t>min or flat</t>
  </si>
  <si>
    <t>Pay Parameters</t>
  </si>
  <si>
    <t>Parameters</t>
  </si>
  <si>
    <t>NEW</t>
  </si>
  <si>
    <t>imposable</t>
  </si>
  <si>
    <t>cPension</t>
  </si>
  <si>
    <t>cSicknes</t>
  </si>
  <si>
    <t>cAccident</t>
  </si>
  <si>
    <t>Calculs intermédiaires</t>
  </si>
  <si>
    <t>Transfer Gain</t>
  </si>
  <si>
    <t>tax Coefficient</t>
  </si>
  <si>
    <t>School allowance</t>
  </si>
  <si>
    <t>DK</t>
  </si>
  <si>
    <t>Bonn</t>
  </si>
  <si>
    <t>Karlsruhe</t>
  </si>
  <si>
    <t>GR</t>
  </si>
  <si>
    <t>I</t>
  </si>
  <si>
    <t>Varese</t>
  </si>
  <si>
    <t>NL</t>
  </si>
  <si>
    <t>Coeficient correcteur</t>
  </si>
  <si>
    <t>Transfer</t>
  </si>
  <si>
    <t>household allowance</t>
  </si>
  <si>
    <t>Children allowance</t>
  </si>
  <si>
    <t>Annual Trip</t>
  </si>
  <si>
    <t>to</t>
  </si>
  <si>
    <t>Transfer1</t>
  </si>
  <si>
    <t>Transfer2</t>
  </si>
  <si>
    <t xml:space="preserve">children in school outside home or in university </t>
  </si>
  <si>
    <t>Annual trip</t>
  </si>
  <si>
    <t>Langue / language</t>
  </si>
  <si>
    <t>Allocation de foyer</t>
  </si>
  <si>
    <t>Allocation enfants à charge</t>
  </si>
  <si>
    <t>Transfert</t>
  </si>
  <si>
    <t>transfert 1</t>
  </si>
  <si>
    <t>transfert 2</t>
  </si>
  <si>
    <t>Voyage annuel</t>
  </si>
  <si>
    <t>Langue</t>
  </si>
  <si>
    <t>Traitement de base</t>
  </si>
  <si>
    <t>Cotisation pension</t>
  </si>
  <si>
    <t>Cotisation assurance maladie</t>
  </si>
  <si>
    <t>Cotisation assurance accident</t>
  </si>
  <si>
    <t>Allocation scolaire non forfaitaire</t>
  </si>
  <si>
    <t>Gain transfert</t>
  </si>
  <si>
    <t>Net pay €</t>
  </si>
  <si>
    <t>Rémunération nette €</t>
  </si>
  <si>
    <t>Place of employment</t>
  </si>
  <si>
    <t>Coefficient correcteur</t>
  </si>
  <si>
    <t>Grade</t>
  </si>
  <si>
    <t>Step</t>
  </si>
  <si>
    <t>Household</t>
  </si>
  <si>
    <t>Children</t>
  </si>
  <si>
    <t>Expat</t>
  </si>
  <si>
    <t>Place</t>
  </si>
  <si>
    <t>EMtrf1</t>
  </si>
  <si>
    <t>EMtrf2</t>
  </si>
  <si>
    <t>iHousehold</t>
  </si>
  <si>
    <t>iChildren</t>
  </si>
  <si>
    <t>iExpat</t>
  </si>
  <si>
    <t>iPlace</t>
  </si>
  <si>
    <t>iEMtrf1</t>
  </si>
  <si>
    <t>iEMtrf2</t>
  </si>
  <si>
    <t>tPlaces</t>
  </si>
  <si>
    <t>tEM</t>
  </si>
  <si>
    <t>EN</t>
  </si>
  <si>
    <t>Yes</t>
  </si>
  <si>
    <t>FR</t>
  </si>
  <si>
    <t>No</t>
  </si>
  <si>
    <t>tLangue</t>
  </si>
  <si>
    <t>iLangue</t>
  </si>
  <si>
    <t>This program covers the most usual cases</t>
  </si>
  <si>
    <t>Ce programme couvre les cas les plus fréquents</t>
  </si>
  <si>
    <r>
      <t>Expatriation allowance</t>
    </r>
    <r>
      <rPr>
        <b/>
        <sz val="8"/>
        <rFont val="Arial"/>
        <family val="2"/>
      </rPr>
      <t xml:space="preserve"> </t>
    </r>
  </si>
  <si>
    <t>Allocation de dépaysement / expatriation</t>
  </si>
  <si>
    <t>children &lt; 6 years (New Pre-school allowance)</t>
  </si>
  <si>
    <t>children in university &gt;50 km from work</t>
  </si>
  <si>
    <t>scoUniv</t>
  </si>
  <si>
    <t>scoUniv50</t>
  </si>
  <si>
    <t>sco05</t>
  </si>
  <si>
    <t>ScoUniv</t>
  </si>
  <si>
    <t>ScoUniv50</t>
  </si>
  <si>
    <t>Sco05</t>
  </si>
  <si>
    <t>iSco05</t>
  </si>
  <si>
    <t>iScoUniv</t>
  </si>
  <si>
    <t>iScoUniv50</t>
  </si>
  <si>
    <t>Type</t>
  </si>
  <si>
    <t>School</t>
  </si>
  <si>
    <t>sans droit d'inscription</t>
  </si>
  <si>
    <t>avec droit d'inscription</t>
  </si>
  <si>
    <t>non fee paying</t>
  </si>
  <si>
    <t>fee paying</t>
  </si>
  <si>
    <t>TripNum</t>
  </si>
  <si>
    <t>TripKM</t>
  </si>
  <si>
    <t>iTripNum</t>
  </si>
  <si>
    <t>Trf1</t>
  </si>
  <si>
    <t>Trf2</t>
  </si>
  <si>
    <t>Voir résultat</t>
  </si>
  <si>
    <t>See result</t>
  </si>
  <si>
    <t>--&gt; Data Input</t>
  </si>
  <si>
    <t>--&gt; Données</t>
  </si>
  <si>
    <t>General</t>
  </si>
  <si>
    <t>Lieu d'affectation</t>
  </si>
  <si>
    <t>Fonctionnaire / Agent temporaire</t>
  </si>
  <si>
    <t>fonct.</t>
  </si>
  <si>
    <t>temp.</t>
  </si>
  <si>
    <t>Official (fonct.) / Temporary Staff</t>
  </si>
  <si>
    <t>Unemployment Insurance contribution</t>
  </si>
  <si>
    <t>cUnemploy_rateN</t>
  </si>
  <si>
    <t>PMACh</t>
  </si>
  <si>
    <t>tTemp</t>
  </si>
  <si>
    <t>iTemp</t>
  </si>
  <si>
    <t>Temp</t>
  </si>
  <si>
    <t>Enfants &lt; 6 ans (Nouveau)</t>
  </si>
  <si>
    <t>Children in school at home</t>
  </si>
  <si>
    <t>Enfants à l'école habitant sous le toit familial</t>
  </si>
  <si>
    <t xml:space="preserve">from 6 to 10 years </t>
  </si>
  <si>
    <t>with 11 or more years</t>
  </si>
  <si>
    <t>de 6 à 10 ans</t>
  </si>
  <si>
    <t>de 11 ans ou plus</t>
  </si>
  <si>
    <t>tExpats</t>
  </si>
  <si>
    <t>tExpats2</t>
  </si>
  <si>
    <t>Children &lt; 6 years (New)</t>
  </si>
  <si>
    <t>Children in university &gt; 50 km from work (only for expatriates)</t>
  </si>
  <si>
    <t>Général</t>
  </si>
  <si>
    <t>Enfants à l'université à plus de 50 km (seulement si dépaysement)</t>
  </si>
  <si>
    <t>Erreur: nombre a. scolaires &gt; nombre a. enfants</t>
  </si>
  <si>
    <t>Error: number of school a. &gt; number of children a.</t>
  </si>
  <si>
    <t>Non flat-rate school allowance</t>
  </si>
  <si>
    <t>Other payments and deductions</t>
  </si>
  <si>
    <t>Other payments (non flat-rate school a.)</t>
  </si>
  <si>
    <t>Autres paiements (a. scolaire non forfaitaire)</t>
  </si>
  <si>
    <t>Other deductions (allowances received elsewhere)</t>
  </si>
  <si>
    <t>Cotisation chômage</t>
  </si>
  <si>
    <t>Autres retenues (alloc.  perçues par ailleurs)</t>
  </si>
  <si>
    <t>Indemnité secrétariat (seulement grades C)</t>
  </si>
  <si>
    <t>Correction Coefficient others</t>
  </si>
  <si>
    <t>Coefficient correcteur autres</t>
  </si>
  <si>
    <t xml:space="preserve">Monthly Pay </t>
  </si>
  <si>
    <t xml:space="preserve">Rémunération mensuelle </t>
  </si>
  <si>
    <t>TripNumChild</t>
  </si>
  <si>
    <t>iTripNumChild</t>
  </si>
  <si>
    <t xml:space="preserve">affecté en </t>
  </si>
  <si>
    <t xml:space="preserve">posted in </t>
  </si>
  <si>
    <t>Old</t>
  </si>
  <si>
    <t>Ancien</t>
  </si>
  <si>
    <t>New</t>
  </si>
  <si>
    <t>Nouveau</t>
  </si>
  <si>
    <t>PartTime</t>
  </si>
  <si>
    <t>iPartTime</t>
  </si>
  <si>
    <t>tPartTime</t>
  </si>
  <si>
    <t>Part time / Full time</t>
  </si>
  <si>
    <t>Temps partiel / temps complet</t>
  </si>
  <si>
    <t>tChildren</t>
  </si>
  <si>
    <t>Flat rate overtime</t>
  </si>
  <si>
    <t>Grade Echelon</t>
  </si>
  <si>
    <t>= report</t>
  </si>
  <si>
    <t>+ €/km</t>
  </si>
  <si>
    <t>Country of origin</t>
  </si>
  <si>
    <t>Pays d'origine</t>
  </si>
  <si>
    <t>Annual Travel</t>
  </si>
  <si>
    <t>Km allowance</t>
  </si>
  <si>
    <t>Obligatory transfer to other person  following a legal decision</t>
  </si>
  <si>
    <t>EMtrf0</t>
  </si>
  <si>
    <t>Trf0</t>
  </si>
  <si>
    <t>iEMtrf0</t>
  </si>
  <si>
    <t>transfert obligatoire</t>
  </si>
  <si>
    <t>obligatory transfer</t>
  </si>
  <si>
    <t>Amount Transferred</t>
  </si>
  <si>
    <t>TrfSco1</t>
  </si>
  <si>
    <t>TrfSco2</t>
  </si>
  <si>
    <t>TrfUniv1</t>
  </si>
  <si>
    <t>TrfUniv2</t>
  </si>
  <si>
    <t>iTrfSco1</t>
  </si>
  <si>
    <t>iTrfUniv1</t>
  </si>
  <si>
    <t>iTrfSco2</t>
  </si>
  <si>
    <t>iTrfUniv2</t>
  </si>
  <si>
    <t>Annual amount</t>
  </si>
  <si>
    <t>Montant annuel</t>
  </si>
  <si>
    <t>Monthly effect</t>
  </si>
  <si>
    <t>Effet mensuel</t>
  </si>
  <si>
    <t>Capitale / Bruxelles</t>
  </si>
  <si>
    <t>Capital</t>
  </si>
  <si>
    <t>Capitale</t>
  </si>
  <si>
    <t>Country (estimated)</t>
  </si>
  <si>
    <t>Transfert obligatoire vers une autre personne suite à une décision de justice</t>
  </si>
  <si>
    <t>Enfants dans ce pays à l'école</t>
  </si>
  <si>
    <t>Enfants dans ce pays à l'université</t>
  </si>
  <si>
    <t>Secretarial allowance</t>
  </si>
  <si>
    <t>Indemnité de secrétariat</t>
  </si>
  <si>
    <t>Distance bonus</t>
  </si>
  <si>
    <t>Bonus (€)</t>
  </si>
  <si>
    <t>From (Km)</t>
  </si>
  <si>
    <t>from KM</t>
  </si>
  <si>
    <t>Indemnité dépaysement</t>
  </si>
  <si>
    <t>Coefficients correcteurs</t>
  </si>
  <si>
    <t>Flat rate school allowance (one per child)</t>
  </si>
  <si>
    <t>Allocation scolaire forfaitaire (une par enfant)</t>
  </si>
  <si>
    <t>cUnemp_abateN</t>
  </si>
  <si>
    <t>Year of calculation</t>
  </si>
  <si>
    <t>Année de calcul</t>
  </si>
  <si>
    <t>YearCalc</t>
  </si>
  <si>
    <t>Scale Salary</t>
  </si>
  <si>
    <t>Grade Step</t>
  </si>
  <si>
    <t>Salaire grille</t>
  </si>
  <si>
    <t>Correction Coefficient</t>
  </si>
  <si>
    <t>Children in school outside home or in university</t>
  </si>
  <si>
    <t>Enfants à l'école n'habitant pas sous le toit familial ou à l'université</t>
  </si>
  <si>
    <t>1</t>
  </si>
  <si>
    <t>2</t>
  </si>
  <si>
    <t>3</t>
  </si>
  <si>
    <t>4</t>
  </si>
  <si>
    <t>5</t>
  </si>
  <si>
    <t>6</t>
  </si>
  <si>
    <t>7</t>
  </si>
  <si>
    <t>iGradeN</t>
  </si>
  <si>
    <t>GradeN</t>
  </si>
  <si>
    <t>tGradeN</t>
  </si>
  <si>
    <t>StepN</t>
  </si>
  <si>
    <t>iStepN</t>
  </si>
  <si>
    <t>tStepsN</t>
  </si>
  <si>
    <t>* Non-obligatory amounts phased out over 5 years starting the second year of the transition.</t>
  </si>
  <si>
    <t>* Montants non obligatoires supprimés sur 5 ans à partir de la deuxième année de la transition.</t>
  </si>
  <si>
    <t>** Immediate application of country correction coefficient</t>
  </si>
  <si>
    <t>** Application immédiate du coefficient correcteur pays</t>
  </si>
  <si>
    <t>Allowances</t>
  </si>
  <si>
    <t>Allocations</t>
  </si>
  <si>
    <t>distance in Km to place of origin</t>
  </si>
  <si>
    <t>Distance en Km du lieu d'origine</t>
  </si>
  <si>
    <t>See SICcongé / demande congé/ personnel</t>
  </si>
  <si>
    <t>Voir SICcongé / demande congé/ personnel</t>
  </si>
  <si>
    <t>Voir fiche de paie juillet</t>
  </si>
  <si>
    <t>See july payslip</t>
  </si>
  <si>
    <t>(6 years transition)</t>
  </si>
  <si>
    <t>(Transition sur 6 ans)</t>
  </si>
  <si>
    <t>Dependent child allowance</t>
  </si>
  <si>
    <t>Education allowance</t>
  </si>
  <si>
    <t>Allocation scolaire</t>
  </si>
  <si>
    <t>Basic Pay</t>
  </si>
  <si>
    <t>Not Used</t>
  </si>
  <si>
    <t>Net pay + Annual trip + Transfer</t>
  </si>
  <si>
    <t>Rémunération nette + Voyage annuel + Transfert</t>
  </si>
  <si>
    <t>garantie individuelle</t>
  </si>
  <si>
    <t>imposable S Base celibataire</t>
  </si>
  <si>
    <t>Impot S Base celibataire</t>
  </si>
  <si>
    <t>Tax &amp; Temp Cont</t>
  </si>
  <si>
    <t>Description des mesures</t>
  </si>
  <si>
    <t>Measures description</t>
  </si>
  <si>
    <t>Ancienne</t>
  </si>
  <si>
    <t>Nouvelle</t>
  </si>
  <si>
    <t>The result is provided for information only and does not constitue a right.</t>
  </si>
  <si>
    <t>(8 years transition)</t>
  </si>
  <si>
    <t>(Transition sur 8 ans)</t>
  </si>
  <si>
    <t>Ce calcul est fourni à titre informatif et ne constitue pas un droit.</t>
  </si>
  <si>
    <t>Special Levy</t>
  </si>
  <si>
    <t>Yourself included</t>
  </si>
  <si>
    <t>(5 years transition)</t>
  </si>
  <si>
    <t>(Transition sur 5 ans)</t>
  </si>
  <si>
    <t>Temp. contrib.</t>
  </si>
  <si>
    <t>Pay calculated</t>
  </si>
  <si>
    <t>Paie calculée</t>
  </si>
  <si>
    <t>See also transition 2003/2004</t>
  </si>
  <si>
    <t>Voir aussi transition 2003/2004</t>
  </si>
  <si>
    <t>The calculation is based upon the 19/05/03 Council Conclusions</t>
  </si>
  <si>
    <t>Le calcul se base sur les Conclusions du Conseil du 19/05/03</t>
  </si>
  <si>
    <t>% Change</t>
  </si>
  <si>
    <t>% Change (compared with 30/06/03)</t>
  </si>
  <si>
    <t>% Change (comparé avec 30/06/03)</t>
  </si>
  <si>
    <t>A lower special levy will be introduced and pay levels will be revised as usual but without retroactive payment.</t>
  </si>
  <si>
    <t>The temporary contribution of 5.83% will run out. You will therefore receive salary gains until the end of 2003</t>
  </si>
  <si>
    <t>Main transition events</t>
  </si>
  <si>
    <t>Implementation of the new Staff Regulations with a guarantee of your net pay (ie: no reduction compared to 30/04/03)</t>
  </si>
  <si>
    <t>Pays (estimat.)</t>
  </si>
  <si>
    <t xml:space="preserve">Mise en œuvre du nouveau Statut avec une garantie de votre revenu net (pas de réduction par rapport au 30/04/04) </t>
  </si>
  <si>
    <t>Faits marquant la transition</t>
  </si>
  <si>
    <t xml:space="preserve">La contribution temporaire de 5,8% cessera.  Vous recevrez les gains de salaire correspondants jusqu’à fin 2003.  </t>
  </si>
  <si>
    <t>Right</t>
  </si>
  <si>
    <t>Droit</t>
  </si>
  <si>
    <t>Max. amount allowed</t>
  </si>
  <si>
    <t>Montant max. autorisé</t>
  </si>
  <si>
    <t>Spec.Levy</t>
  </si>
  <si>
    <t>Prélèvement spécial</t>
  </si>
  <si>
    <t>Special levy</t>
  </si>
  <si>
    <t>*La garantie s'applique chaque année mais ce programme la calcule seulement pour 2004</t>
  </si>
  <si>
    <t>*The guarantee applies every year but this program can calculate it only for 2004</t>
  </si>
  <si>
    <t>S'applique chaque année mais le programme la calcule seulement pour 2004</t>
  </si>
  <si>
    <t>Applies every year but the program can calculate it only for 2004</t>
  </si>
  <si>
    <t>voir</t>
  </si>
  <si>
    <t>param new</t>
  </si>
  <si>
    <t>Latest adjustment 1/01/04</t>
  </si>
  <si>
    <t>Dernière adaptation 1/01/04</t>
  </si>
  <si>
    <t>Nominal protection (Difference with April 2004 net Pay)</t>
  </si>
  <si>
    <t>Protection nominale (Différence avec Paie nette Avril 2004)</t>
  </si>
  <si>
    <t>Min vital</t>
  </si>
  <si>
    <t>For transition see</t>
  </si>
  <si>
    <t>Pour la transition voir</t>
  </si>
  <si>
    <t>*** Country of highest correction coefficient for ilustration purposes</t>
  </si>
  <si>
    <t>Amount transfered without transition</t>
  </si>
  <si>
    <t>Forfait heures supplémentaires</t>
  </si>
  <si>
    <t>Alloc. perçue par ailleurs ou versée à une tierce pers.</t>
  </si>
  <si>
    <t>Montant annuel en €</t>
  </si>
  <si>
    <t>Annual amount in  €</t>
  </si>
  <si>
    <t>Vous-même inclus</t>
  </si>
  <si>
    <t>Nombre d'enfants de 2 à 10 ans</t>
  </si>
  <si>
    <t>Number of children 2 - 10 years</t>
  </si>
  <si>
    <t>Transfert vers pays 1</t>
  </si>
  <si>
    <t>Transfert vers pays 2</t>
  </si>
  <si>
    <t>Transfer to country 1</t>
  </si>
  <si>
    <t>Transfer to country 2</t>
  </si>
  <si>
    <t>Children in this country in school</t>
  </si>
  <si>
    <t>Children in this country in university</t>
  </si>
  <si>
    <t>Allowances received elsewhere or paid to a third party</t>
  </si>
  <si>
    <t>Autres paiements et retenues</t>
  </si>
  <si>
    <t>Relex: assurance maladie complémentaire</t>
  </si>
  <si>
    <t>Relex: assurance accident personnes à charge</t>
  </si>
  <si>
    <t xml:space="preserve">Relex: complementary sickness insurance </t>
  </si>
  <si>
    <t>Relex: dependant accident insurance</t>
  </si>
  <si>
    <t>CompIns</t>
  </si>
  <si>
    <t>DepIns</t>
  </si>
  <si>
    <t>iCompIns</t>
  </si>
  <si>
    <t>iDepIns</t>
  </si>
  <si>
    <t>Current</t>
  </si>
  <si>
    <t>Relex comp. Ins.</t>
  </si>
  <si>
    <t>Relex dep. Ins.</t>
  </si>
  <si>
    <t>individual guarantee</t>
  </si>
  <si>
    <t>Basic Pay Full time</t>
  </si>
  <si>
    <t>Traitement de base à temps complet</t>
  </si>
  <si>
    <t>Basic Pay before individual guarantee</t>
  </si>
  <si>
    <t>Traitement de base avant garantie individuelle</t>
  </si>
  <si>
    <t>Basic Pay 1/5/04</t>
  </si>
  <si>
    <t>Traitement de base 1/5/04</t>
  </si>
  <si>
    <t>New Scale Basic Pay 1/5/04</t>
  </si>
  <si>
    <t>Old Scale Basic Pay 1/5/04</t>
  </si>
  <si>
    <t>Traitement de base ancienne grille 1/5/04</t>
  </si>
  <si>
    <t>Multiplication factor</t>
  </si>
  <si>
    <t>Facteur multiplicateur</t>
  </si>
  <si>
    <t>Grade &amp; step 30 April 2004</t>
  </si>
  <si>
    <t>Grade &amp; échelon 30 avril 2004</t>
  </si>
  <si>
    <t>au 1/05/2004</t>
  </si>
  <si>
    <t>becomes</t>
  </si>
  <si>
    <t>devienne</t>
  </si>
  <si>
    <t>€</t>
  </si>
  <si>
    <t>1/05/04 Transition</t>
  </si>
  <si>
    <t xml:space="preserve">Transition 1/05/04 </t>
  </si>
  <si>
    <t>Multiplication factor 1/5/04</t>
  </si>
  <si>
    <t>Facteur multiplicateur 1/5/04</t>
  </si>
  <si>
    <t>Salaire nouvelle grille 1/5/04</t>
  </si>
  <si>
    <t>at 1/05/2004</t>
  </si>
  <si>
    <t>Secretarial allowance (only if former grade C)</t>
  </si>
  <si>
    <t>Factor valid till first promotion</t>
  </si>
  <si>
    <t>Facteur valable jusqu'à première promotion</t>
  </si>
  <si>
    <t>** Résultat valable pour les personnes engagées AVANT le 1/5/04 **</t>
  </si>
  <si>
    <t>** Résultat valable pour les personnes engagées A PARTIR du 1/5/04 **</t>
  </si>
  <si>
    <t>&lt;- OBLIGATORY for persons in function before the 1/5/04</t>
  </si>
  <si>
    <t>&lt;-OBLIGATOIRE pour les personnes en fonction avant 1/5/04</t>
  </si>
  <si>
    <t>If part time, full pension contribution</t>
  </si>
  <si>
    <t>Si temps partiel, contribution pension 100%</t>
  </si>
  <si>
    <t>PensionFull</t>
  </si>
  <si>
    <t>iPensionFull</t>
  </si>
  <si>
    <t>tPensionFull</t>
  </si>
  <si>
    <t>tHousehold</t>
  </si>
  <si>
    <t xml:space="preserve"> </t>
  </si>
  <si>
    <t>extra step included</t>
  </si>
  <si>
    <t>échelon supplémentaire inclus</t>
  </si>
  <si>
    <t>Contrib. temp.</t>
  </si>
  <si>
    <t>Prélèv. spécial</t>
  </si>
  <si>
    <t>Montant transféré</t>
  </si>
  <si>
    <t>Montant transféré hors transition</t>
  </si>
  <si>
    <t>*** Pays du coefficient correcteur le plus élevé à titre ilustratif</t>
  </si>
  <si>
    <t>Un prélèvement spécial  plus bas sera introduit, et la rémunération sera révisée comme d’habitude mais sans rappel</t>
  </si>
  <si>
    <t>BE</t>
  </si>
  <si>
    <t>LU</t>
  </si>
  <si>
    <t>CZ</t>
  </si>
  <si>
    <t>DE</t>
  </si>
  <si>
    <t>Münich</t>
  </si>
  <si>
    <t>EE</t>
  </si>
  <si>
    <t>ES</t>
  </si>
  <si>
    <t>IE</t>
  </si>
  <si>
    <t>IT</t>
  </si>
  <si>
    <t>CY</t>
  </si>
  <si>
    <t>LV</t>
  </si>
  <si>
    <t>LT</t>
  </si>
  <si>
    <t>HU</t>
  </si>
  <si>
    <t>MT</t>
  </si>
  <si>
    <t>AT</t>
  </si>
  <si>
    <t>PL</t>
  </si>
  <si>
    <t>PT</t>
  </si>
  <si>
    <t>SI</t>
  </si>
  <si>
    <t>SK</t>
  </si>
  <si>
    <t>FI</t>
  </si>
  <si>
    <t>SE</t>
  </si>
  <si>
    <t>Not used</t>
  </si>
  <si>
    <t>children in fee paying school get a reimbursement and not a flat amount</t>
  </si>
  <si>
    <t xml:space="preserve"> flat rate</t>
  </si>
  <si>
    <t xml:space="preserve">in april 2004 and still in school </t>
  </si>
  <si>
    <t>en avril 2004 et encore à l'ecole</t>
  </si>
  <si>
    <t>Relex: indemnité conditions de vie</t>
  </si>
  <si>
    <t>Relex: allowance for living conditions</t>
  </si>
  <si>
    <t>Relex: allowance for difficult living conditions</t>
  </si>
  <si>
    <t>Relex: indemnité conditions de vie difficiles</t>
  </si>
  <si>
    <t>LivCond</t>
  </si>
  <si>
    <t>DifLivCond</t>
  </si>
  <si>
    <t>iLivCond</t>
  </si>
  <si>
    <t>iDifLivCond</t>
  </si>
  <si>
    <t>Nominal protection</t>
  </si>
  <si>
    <t xml:space="preserve"> (Difference with April 2004 net Pay)</t>
  </si>
  <si>
    <t>Protection nominale</t>
  </si>
  <si>
    <t xml:space="preserve"> (Différence avec Paie nette Avril 2004)</t>
  </si>
  <si>
    <t xml:space="preserve"> avant CC</t>
  </si>
  <si>
    <t xml:space="preserve"> avec CC</t>
  </si>
  <si>
    <t xml:space="preserve"> before CC</t>
  </si>
  <si>
    <t xml:space="preserve"> after CC</t>
  </si>
  <si>
    <t>For nominal protection see</t>
  </si>
  <si>
    <t>Pour la protection nominale voir</t>
  </si>
  <si>
    <t>Paramètres calculette</t>
  </si>
  <si>
    <t>Column number</t>
  </si>
  <si>
    <t>Expatriation min</t>
  </si>
  <si>
    <t>Child allowance</t>
  </si>
  <si>
    <t>Preschool allowance</t>
  </si>
  <si>
    <t>Sec allowance C1</t>
  </si>
  <si>
    <t>Sec allowance C4</t>
  </si>
  <si>
    <t>Grille fonctionnaire</t>
  </si>
  <si>
    <t>Tax coefficient</t>
  </si>
  <si>
    <t>ECHELONS</t>
  </si>
  <si>
    <t>GRADES</t>
  </si>
  <si>
    <t>Pension rate</t>
  </si>
  <si>
    <t>Parental leave: married</t>
  </si>
  <si>
    <t>Parental leave: single</t>
  </si>
  <si>
    <t>Temp. agt unemployment abatement</t>
  </si>
  <si>
    <t>Temp. agt unemployment rate</t>
  </si>
  <si>
    <t>Contr. agt unemployment abatement</t>
  </si>
  <si>
    <t>Contr. agt unemployment rate</t>
  </si>
  <si>
    <t>Sicknes rate</t>
  </si>
  <si>
    <t>Remunération</t>
  </si>
  <si>
    <t>Pension</t>
  </si>
  <si>
    <t>Accident rate</t>
  </si>
  <si>
    <t>Pays / Lieu</t>
  </si>
  <si>
    <t>Rép. tchèque</t>
  </si>
  <si>
    <t>Danemark</t>
  </si>
  <si>
    <t>Allemagne</t>
  </si>
  <si>
    <t>Estonie</t>
  </si>
  <si>
    <t>Grèce</t>
  </si>
  <si>
    <t>Espagne</t>
  </si>
  <si>
    <t>France</t>
  </si>
  <si>
    <t>Irlande</t>
  </si>
  <si>
    <t>Portugal</t>
  </si>
  <si>
    <t>Grille agents contractuels</t>
  </si>
  <si>
    <t>GROUPES DE</t>
  </si>
  <si>
    <t>FONCTIONS</t>
  </si>
  <si>
    <t>IV</t>
  </si>
  <si>
    <t>III</t>
  </si>
  <si>
    <t>II</t>
  </si>
  <si>
    <t>Expatriation rate</t>
  </si>
  <si>
    <t>Household allowance %</t>
  </si>
  <si>
    <t>Grille ancien statut</t>
  </si>
  <si>
    <t>Grille nouveau statut</t>
  </si>
  <si>
    <t>Date last change in parameters</t>
  </si>
  <si>
    <t>In force since</t>
  </si>
  <si>
    <t>En vigueur depuis</t>
  </si>
  <si>
    <t>Step 5 = Step 1 of next grade</t>
  </si>
  <si>
    <t>Echelon 5 = Echelon 1du grade suivant</t>
  </si>
  <si>
    <t>** Result valid for staff recruited FROM 1/5/04 **</t>
  </si>
  <si>
    <t>** Result valid for staff recruited BEFORE 1/5/04 **</t>
  </si>
  <si>
    <t>TAX</t>
  </si>
  <si>
    <t>Facteurs</t>
  </si>
  <si>
    <t>Salaire nouvelle grille</t>
  </si>
  <si>
    <t>Others</t>
  </si>
  <si>
    <t>Pension, maladie, accident</t>
  </si>
  <si>
    <t>Pension, sickness, accident</t>
  </si>
  <si>
    <t>Autres</t>
  </si>
  <si>
    <t>Dependent child &amp; school allowance</t>
  </si>
  <si>
    <t>Allocation scolaire &amp; enfants à charge</t>
  </si>
  <si>
    <t>New mult factor after 1st promotion</t>
  </si>
  <si>
    <t>Nouv facteur mult après 1ère promotion</t>
  </si>
  <si>
    <t>Ne pas utiliser si le nouveau facteur inclut déjà l'augmentation management</t>
  </si>
  <si>
    <t>Do not use if New factor after promotion includes already the increase management</t>
  </si>
  <si>
    <t>*The computation rule has changed; the calculator will be adapted when possible</t>
  </si>
  <si>
    <t>*La règle de calcul a changé; la calculette sera adaptée dès que possible</t>
  </si>
  <si>
    <t>Head of unit, director or general director ?*</t>
  </si>
  <si>
    <t>Chef d'unité, directeur ou directeur général ?*</t>
  </si>
  <si>
    <t>Management allowance</t>
  </si>
  <si>
    <t>Indemnité de management</t>
  </si>
  <si>
    <t>After 1st promotion, please enter the multiplication factor indicated on your salary slip. Before, use 0</t>
  </si>
  <si>
    <t>Après première promotion, entrez le facteur multiplicateur indiqué sur votre fiche de paie. Avant mettre 0</t>
  </si>
  <si>
    <t>Only for grade &gt;=9</t>
  </si>
  <si>
    <t>Seulement pour grade &gt;=9</t>
  </si>
  <si>
    <t>Leave 100 % for full-time employment.
Introduce 50-60-75-80 or 90 % for part-time.
Introduce a value between 60 and 80 % for pre-retirement (Staff Regs : article 4 of Annex IV a).
Introduce 0 or 50% for parental / family leave (Staff Regs : article 42a)</t>
  </si>
  <si>
    <t>Laisser 100% pour temps complet.
Introduire 50-60-75-80 ou 90 % pour temps partiel.
Introduire une valeur entre 60 et 80 % pour la préretraite (Statut article 4 Annexe IV bis)
Introduire 0 ou 50% pour le congé parental / familial (Statut article 42bis)</t>
  </si>
  <si>
    <t>Parental / family leave allowance</t>
  </si>
  <si>
    <t>Allocation congé parental / familial</t>
  </si>
  <si>
    <t>Parental / family leave</t>
  </si>
  <si>
    <t>Congé parental / familial</t>
  </si>
  <si>
    <t>ERROR: only 0% or 50% if parental / family leave</t>
  </si>
  <si>
    <t>ERREUR: seulement 0% ou 50% si congé parental / familial</t>
  </si>
  <si>
    <t>Parental</t>
  </si>
  <si>
    <t>Isole</t>
  </si>
  <si>
    <t>AllocParen</t>
  </si>
  <si>
    <t>iParental</t>
  </si>
  <si>
    <t>iIsole</t>
  </si>
  <si>
    <t>iAllocParen</t>
  </si>
  <si>
    <t>tParental</t>
  </si>
  <si>
    <t>tIsole</t>
  </si>
  <si>
    <t>Pas isolé</t>
  </si>
  <si>
    <t>Isolé</t>
  </si>
  <si>
    <t>Bulgarie</t>
  </si>
  <si>
    <t>BU</t>
  </si>
  <si>
    <t>RO</t>
  </si>
  <si>
    <t>Grade &amp; Step</t>
  </si>
  <si>
    <t>Grade &amp; Echelon</t>
  </si>
  <si>
    <t>Transfert pour des enfants étudiant à l'étranger</t>
  </si>
  <si>
    <t>Transfer for children studying abroad</t>
  </si>
  <si>
    <t>Taux de change</t>
  </si>
  <si>
    <t>Devise</t>
  </si>
  <si>
    <t>EUR</t>
  </si>
  <si>
    <t>BGN</t>
  </si>
  <si>
    <t>CZK</t>
  </si>
  <si>
    <t>DKK</t>
  </si>
  <si>
    <t>HUF</t>
  </si>
  <si>
    <t>PLN</t>
  </si>
  <si>
    <t>RON</t>
  </si>
  <si>
    <t>SEK</t>
  </si>
  <si>
    <t>GBP</t>
  </si>
  <si>
    <t>The amounts are restricted to 5% of basic salary in case of transfers for family obligations and to the real amount receive as school allowance in the other cases.</t>
  </si>
  <si>
    <t>Les montants sont limités à 5% du salaire de base pour le transfert suite à des obligations familiales et au montant de l'allocation scolaire réellement perçue dans les autres cas.</t>
  </si>
  <si>
    <t>Total transfer</t>
  </si>
  <si>
    <t>Total Transfert</t>
  </si>
  <si>
    <t>Exchange rate</t>
  </si>
  <si>
    <t>Net pay in local currency</t>
  </si>
  <si>
    <t>Rémunération en devise</t>
  </si>
  <si>
    <t>Taux change princ</t>
  </si>
  <si>
    <t>Devise principale</t>
  </si>
  <si>
    <t>Dev trans 0</t>
  </si>
  <si>
    <t>Taux trans0</t>
  </si>
  <si>
    <t>Dev trans 1</t>
  </si>
  <si>
    <t>Taux trans1</t>
  </si>
  <si>
    <t>Dev trans 2</t>
  </si>
  <si>
    <t>Taux trans2</t>
  </si>
  <si>
    <t>Pension Rate</t>
  </si>
  <si>
    <t>HR</t>
  </si>
  <si>
    <t>ERROR: only if parental leave</t>
  </si>
  <si>
    <t>ERREUR: seulement si congé parental</t>
  </si>
  <si>
    <t>Prolongation Congé Parental</t>
  </si>
  <si>
    <t>If parental / family leave, increase</t>
  </si>
  <si>
    <t>Si congé parental / familial, majoration</t>
  </si>
  <si>
    <t>Error: extension without parental leave</t>
  </si>
  <si>
    <t>Erreur: prolongation sans congé parental</t>
  </si>
  <si>
    <t>Error: increase without parental leave</t>
  </si>
  <si>
    <t>Erreur: majoration sans congé parental</t>
  </si>
  <si>
    <t>Prolong</t>
  </si>
  <si>
    <t>iProlong</t>
  </si>
  <si>
    <t>tProlong</t>
  </si>
  <si>
    <t>Extension Parental leave</t>
  </si>
  <si>
    <t>Pour les parents isolés et les parents ayant la charge d'un enfant atteint d'une maladie grave, … 
(Statut: Art.42 bis alinéa 4)</t>
  </si>
  <si>
    <t>For the single parents and parents of dependent children with severe illness, … 
(Staff Regs: Art.42bis §4)</t>
  </si>
  <si>
    <t>Number of persons &gt; 2 years</t>
  </si>
  <si>
    <t>Nombre de personnes de plus de 2 ans</t>
  </si>
  <si>
    <t>HRK</t>
  </si>
  <si>
    <t>km</t>
  </si>
  <si>
    <t>€ / Km</t>
  </si>
  <si>
    <t>Number of kilometers</t>
  </si>
  <si>
    <t>Nombre de kilomètres</t>
  </si>
  <si>
    <t>Breakdown of payment</t>
  </si>
  <si>
    <t>Répartition de paiement</t>
  </si>
  <si>
    <t>Annual Trip Bonus</t>
  </si>
  <si>
    <t>Bonus voyage annuel</t>
  </si>
  <si>
    <t>Annual travel expenses for</t>
  </si>
  <si>
    <t>Frais de voyage annuel pour</t>
  </si>
  <si>
    <t>unit:</t>
  </si>
  <si>
    <t>unité:</t>
  </si>
  <si>
    <t>person(s):</t>
  </si>
  <si>
    <t>personne(s):</t>
  </si>
  <si>
    <t>Outside EU: dependant accident insurance</t>
  </si>
  <si>
    <t xml:space="preserve">Outside EU: complementary sickness insurance </t>
  </si>
  <si>
    <t>Outside EU: allowance for living conditions</t>
  </si>
  <si>
    <t>Outside EU: allowance for difficult living conditions</t>
  </si>
  <si>
    <t>Hors union: assurance maladie complémentaire</t>
  </si>
  <si>
    <t>Hors union: assurance accident personnes à charge</t>
  </si>
  <si>
    <t>Hors union: indemnité conditions de vie</t>
  </si>
  <si>
    <t>Hors union: indemnité conditions de vie difficiles</t>
  </si>
  <si>
    <t xml:space="preserve">Plafonds des revenus bruts du conjoint/partenaire reconnu pour l'octroi de l'allocation de foyer </t>
  </si>
  <si>
    <t>(lorsqu'il n'y a pas d'enfant à charge), affectés du coefficient correcteur fixé pour le pays dans lequel le</t>
  </si>
  <si>
    <t>affectés du coefficient correcteur fixé pour le pays dans lequel le</t>
  </si>
  <si>
    <t>conjoint/partenaire reconnu exerce son activité professionnelle, avant déduction de l'impôt,</t>
  </si>
  <si>
    <t>Plafond Allocation foyer</t>
  </si>
  <si>
    <t>Plafond RCAM</t>
  </si>
  <si>
    <t xml:space="preserve">Traitement de Base 3 step 2 </t>
  </si>
  <si>
    <t>Traitement de Base 2 step 1</t>
  </si>
  <si>
    <t>Contrevaleur</t>
  </si>
  <si>
    <t>PAYS</t>
  </si>
  <si>
    <t>Montant dev.nation</t>
  </si>
  <si>
    <t>CC</t>
  </si>
  <si>
    <t>taux</t>
  </si>
  <si>
    <t>Montant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</si>
  <si>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</si>
  <si>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</si>
  <si>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</si>
  <si>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</si>
  <si>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</si>
  <si>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</si>
  <si>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</si>
  <si>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</si>
  <si>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</si>
  <si>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</si>
  <si>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</si>
  <si>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GRECE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</si>
  <si>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</si>
  <si>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</si>
  <si>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</si>
  <si>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</si>
  <si>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</si>
  <si>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</si>
  <si>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</si>
  <si>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</si>
  <si>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</si>
  <si>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</si>
  <si>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REPUBLIQUE TCHEQUE</t>
  </si>
  <si>
    <t>ROUMANIE</t>
  </si>
  <si>
    <t>ROYAUME-UNI</t>
  </si>
  <si>
    <t>SLOVAQUIE</t>
  </si>
  <si>
    <t>SLOVENIE</t>
  </si>
  <si>
    <t>SUEDE</t>
  </si>
  <si>
    <t>AUSTRALIE</t>
  </si>
  <si>
    <t>AUD</t>
  </si>
  <si>
    <t>CANADA</t>
  </si>
  <si>
    <t>CAD</t>
  </si>
  <si>
    <t>COTE D'IVOIRE</t>
  </si>
  <si>
    <t>XOF</t>
  </si>
  <si>
    <t>JAPON/Tokyo</t>
  </si>
  <si>
    <t>JPY</t>
  </si>
  <si>
    <t>MOLDAVIE</t>
  </si>
  <si>
    <t>MDL</t>
  </si>
  <si>
    <t>NORVEGE</t>
  </si>
  <si>
    <t>NOK</t>
  </si>
  <si>
    <t>RUSSIE</t>
  </si>
  <si>
    <t>RUB</t>
  </si>
  <si>
    <t>SUISSE (Genève)</t>
  </si>
  <si>
    <t>CHF</t>
  </si>
  <si>
    <t>USA/New York</t>
  </si>
  <si>
    <t>USD</t>
  </si>
  <si>
    <t>USA/Washington</t>
  </si>
  <si>
    <t>The threshold is calculated according to the article 1 § 3 of the Annex VII of the Staff Regulations</t>
  </si>
  <si>
    <t xml:space="preserve">If the spouse of an official is gainfully employed, with an annual income, before deduction of tax, </t>
  </si>
  <si>
    <t xml:space="preserve">of more than the basic annual salary of an official in the second step of grade AST 3 weighted at the rate for the </t>
  </si>
  <si>
    <t xml:space="preserve">country where the spouse carries out his or her occupation, the official entitled to the household allowance shall not </t>
  </si>
  <si>
    <t xml:space="preserve">receive this allowance save by special decision of the appointing authority. The official shall, however, </t>
  </si>
  <si>
    <t>be entitled to the allowance where the married couple have one or more dependent children.</t>
  </si>
  <si>
    <t>note pour la mise à jour: les données en jaune (hors UE) doivent être saisies manuellement.</t>
  </si>
  <si>
    <t>Plafonds des revenus bruts du conjoint/partenaire reconnu pour l'affiliation RCAM</t>
  </si>
  <si>
    <t>D4</t>
  </si>
  <si>
    <t>CBR canberra</t>
  </si>
  <si>
    <t>YOW ottawa</t>
  </si>
  <si>
    <t>ABJ côte d'ivoir</t>
  </si>
  <si>
    <t>TYO tokyo</t>
  </si>
  <si>
    <t>KIV chisinau</t>
  </si>
  <si>
    <t>OSL oslo</t>
  </si>
  <si>
    <t>MOW moscou</t>
  </si>
  <si>
    <t>GVA genève</t>
  </si>
  <si>
    <t>NYC new york</t>
  </si>
  <si>
    <t>WAS washington</t>
  </si>
  <si>
    <t>LON londres</t>
  </si>
  <si>
    <t>School allowance for beneficiaries 30/4/2004 (no adaptation for this allowance)</t>
  </si>
  <si>
    <t>1/5/04 31/8/04</t>
  </si>
  <si>
    <t>1/9/04 31/8/05</t>
  </si>
  <si>
    <t>1/9/05 31/8/06</t>
  </si>
  <si>
    <t>1/9/06 31/8/07</t>
  </si>
  <si>
    <t>1/9/07 31/8/08</t>
  </si>
  <si>
    <t>1/9/08 31/8/09</t>
  </si>
  <si>
    <t>TypeCalc</t>
  </si>
  <si>
    <t>AC</t>
  </si>
  <si>
    <t>Annual trip 0-200 km</t>
  </si>
  <si>
    <t>Annual trip 201-1000 km</t>
  </si>
  <si>
    <t>Annual trip 1001-2000 km</t>
  </si>
  <si>
    <t>Annual trip 2001-3000 km</t>
  </si>
  <si>
    <t>Annual trip 3001-4000 km</t>
  </si>
  <si>
    <t>Annual trip 4001-10000 km</t>
  </si>
  <si>
    <t>Annual trip &gt;10000 km</t>
  </si>
  <si>
    <t>Annual trip bonus 0-599 km</t>
  </si>
  <si>
    <t>Annual trip bonus 600-1200 km</t>
  </si>
  <si>
    <t>Annual trip bonus &gt;1200 km</t>
  </si>
  <si>
    <t>Grille secrétaire</t>
  </si>
  <si>
    <t>ONGLET COMMUN A TOUTES LES CALCULETTES</t>
  </si>
  <si>
    <t>Date actualisation</t>
  </si>
  <si>
    <t>Actualisation 2020</t>
  </si>
  <si>
    <t>Relex maladie</t>
  </si>
  <si>
    <t>Relex accident</t>
  </si>
  <si>
    <t>Min. Expat allowance Art. 134 CEOS</t>
  </si>
  <si>
    <t>Kilometric allowance - Travel Article 7(2) An VII</t>
  </si>
  <si>
    <t>0-200 km</t>
  </si>
  <si>
    <t>201-1000 km</t>
  </si>
  <si>
    <t>1001-2000 km</t>
  </si>
  <si>
    <t>2001-3000 km</t>
  </si>
  <si>
    <t>3001-4000 km</t>
  </si>
  <si>
    <t>4001-10000 km</t>
  </si>
  <si>
    <t>Over 10000 km</t>
  </si>
  <si>
    <t>Bonus 600-1200 km</t>
  </si>
  <si>
    <t>Bonus &gt; 1200 km</t>
  </si>
  <si>
    <t>Daily subsistence allowance Art. 10(2) An VII</t>
  </si>
  <si>
    <t>If household allowance</t>
  </si>
  <si>
    <t>No household allowance</t>
  </si>
  <si>
    <t>Installation allowance Art. 24(3) CEOS - Lower limit</t>
  </si>
  <si>
    <t>Unemployment allowance Art. 28a(3) CEOS - Limits</t>
  </si>
  <si>
    <t>Lower limit</t>
  </si>
  <si>
    <t>Upper limit</t>
  </si>
  <si>
    <t>Installation allowance Art. 94 CEOS - Lower limit</t>
  </si>
  <si>
    <t>Unemployment allowance Art. 96(3) CEOS - Limits</t>
  </si>
  <si>
    <t>Unemployment allowance Art. 136 CEOS - Limits</t>
  </si>
  <si>
    <t>Shift work Art. 1(1) of Council Reg. No 300/76</t>
  </si>
  <si>
    <t>Extra hours 1 (shift work)</t>
  </si>
  <si>
    <t>Extra hours 2 (shift work)</t>
  </si>
  <si>
    <t>Extra hours 3 (shift work)</t>
  </si>
  <si>
    <t>Extra hours 4 (shift work)</t>
  </si>
  <si>
    <t>Grille Assistants parlementaires</t>
  </si>
  <si>
    <t>Full-time basic salary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</si>
  <si>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</si>
  <si>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</si>
  <si>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</si>
  <si>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</si>
  <si>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</si>
  <si>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</si>
  <si>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</si>
  <si>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</si>
  <si>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</si>
  <si>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</si>
  <si>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</si>
  <si>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</si>
  <si>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</si>
  <si>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</si>
  <si>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</si>
  <si>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</si>
  <si>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Effet 1/07/2022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</si>
</sst>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0.00\ \ "/>
    <numFmt numFmtId="185" formatCode="0.0\ \ "/>
    <numFmt numFmtId="186" formatCode="0.0\ \ \ \ "/>
    <numFmt numFmtId="187" formatCode="0\ \ "/>
    <numFmt numFmtId="188" formatCode="0.0%"/>
    <numFmt numFmtId="189" formatCode="0.000000"/>
    <numFmt numFmtId="190" formatCode="0.0000"/>
    <numFmt numFmtId="191" formatCode="0.000"/>
    <numFmt numFmtId="192" formatCode="0.00000"/>
    <numFmt numFmtId="193" formatCode="0.000\ \ "/>
    <numFmt numFmtId="194" formatCode="0.0"/>
    <numFmt numFmtId="195" formatCode="0.000%"/>
    <numFmt numFmtId="196" formatCode="#,##0.00_ ;[Red]\-#,##0.00\ "/>
    <numFmt numFmtId="197" formatCode="0.00\ &quot;€&quot;"/>
    <numFmt numFmtId="198" formatCode="0\ &quot;Km&quot;"/>
    <numFmt numFmtId="199" formatCode="#,##0.000000_ ;[Red]\-#,##0.000000\ "/>
    <numFmt numFmtId="200" formatCode="#,##0.00000_ ;[Red]\-#,##0.00000\ "/>
    <numFmt numFmtId="201" formatCode="0.0000%"/>
    <numFmt numFmtId="202" formatCode="0.00000%"/>
    <numFmt numFmtId="203" formatCode="0.0000000%"/>
    <numFmt numFmtId="204" formatCode="#,##0.0000000"/>
    <numFmt numFmtId="205" formatCode="d/mm/yy;@"/>
    <numFmt numFmtId="206" formatCode="#,##0.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00"/>
  </numFmts>
  <fonts count="13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56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12"/>
      <name val="Arial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0"/>
      <color indexed="56"/>
      <name val="Arial Narrow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2"/>
      <name val="Arial"/>
      <family val="2"/>
    </font>
    <font>
      <sz val="16"/>
      <name val="Arial"/>
      <family val="2"/>
    </font>
    <font>
      <sz val="11"/>
      <color indexed="17"/>
      <name val="Arial Narrow"/>
      <family val="2"/>
    </font>
    <font>
      <sz val="8"/>
      <color indexed="10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 Narrow"/>
      <family val="2"/>
    </font>
    <font>
      <b/>
      <sz val="12"/>
      <color indexed="14"/>
      <name val="Arial"/>
      <family val="2"/>
    </font>
    <font>
      <sz val="11"/>
      <name val="Times New Roman"/>
      <family val="1"/>
    </font>
    <font>
      <b/>
      <u val="single"/>
      <sz val="14"/>
      <color indexed="12"/>
      <name val="Arial Narrow"/>
      <family val="2"/>
    </font>
    <font>
      <b/>
      <u val="single"/>
      <sz val="16"/>
      <color indexed="12"/>
      <name val="Arial Narrow"/>
      <family val="2"/>
    </font>
    <font>
      <sz val="8"/>
      <color indexed="17"/>
      <name val="Arial Narrow"/>
      <family val="2"/>
    </font>
    <font>
      <sz val="9"/>
      <color indexed="50"/>
      <name val="Arial"/>
      <family val="2"/>
    </font>
    <font>
      <sz val="10"/>
      <color indexed="50"/>
      <name val="Arial Narrow"/>
      <family val="2"/>
    </font>
    <font>
      <b/>
      <sz val="12"/>
      <color indexed="17"/>
      <name val="Arial"/>
      <family val="2"/>
    </font>
    <font>
      <b/>
      <sz val="11"/>
      <color indexed="21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0"/>
      <color indexed="14"/>
      <name val="Arial Narrow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b/>
      <sz val="9"/>
      <color indexed="14"/>
      <name val="Arial"/>
      <family val="2"/>
    </font>
    <font>
      <b/>
      <sz val="10"/>
      <color indexed="17"/>
      <name val="Arial Narrow"/>
      <family val="2"/>
    </font>
    <font>
      <b/>
      <sz val="10"/>
      <color indexed="14"/>
      <name val="Arial"/>
      <family val="2"/>
    </font>
    <font>
      <b/>
      <sz val="11"/>
      <color indexed="17"/>
      <name val="Arial Narrow"/>
      <family val="2"/>
    </font>
    <font>
      <sz val="8"/>
      <color indexed="17"/>
      <name val="Tahoma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2"/>
      <color indexed="17"/>
      <name val="Arial Narrow"/>
      <family val="2"/>
    </font>
    <font>
      <u val="single"/>
      <sz val="12"/>
      <color indexed="12"/>
      <name val="Arial Narrow"/>
      <family val="2"/>
    </font>
    <font>
      <i/>
      <sz val="11"/>
      <name val="Arial Narrow"/>
      <family val="2"/>
    </font>
    <font>
      <b/>
      <sz val="11"/>
      <color indexed="56"/>
      <name val="Arial Narrow"/>
      <family val="2"/>
    </font>
    <font>
      <i/>
      <sz val="9"/>
      <name val="Arial Narrow"/>
      <family val="2"/>
    </font>
    <font>
      <sz val="10"/>
      <color indexed="14"/>
      <name val="Arial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00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b/>
      <sz val="12"/>
      <color rgb="FFFF0000"/>
      <name val="Arial"/>
      <family val="2"/>
    </font>
    <font>
      <sz val="14"/>
      <color rgb="FF000000"/>
      <name val="Arial"/>
      <family val="2"/>
    </font>
    <font>
      <sz val="10"/>
      <color rgb="FF000000"/>
      <name val="Segoe UI"/>
      <family val="2"/>
    </font>
    <font>
      <sz val="8"/>
      <color rgb="FF008000"/>
      <name val="Tahom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lightUp"/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1" applyNumberFormat="0" applyAlignment="0" applyProtection="0"/>
    <xf numFmtId="0" fontId="118" fillId="27" borderId="2" applyNumberFormat="0" applyAlignment="0" applyProtection="0"/>
    <xf numFmtId="18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5" fontId="4" fillId="0" borderId="3" applyFont="0" applyFill="0" applyBorder="0" applyAlignment="0">
      <protection/>
    </xf>
    <xf numFmtId="1" fontId="5" fillId="0" borderId="0" applyFont="0" applyFill="0" applyBorder="0">
      <alignment/>
      <protection/>
    </xf>
    <xf numFmtId="187" fontId="5" fillId="0" borderId="0" applyFont="0" applyFill="0" applyBorder="0">
      <alignment/>
      <protection/>
    </xf>
    <xf numFmtId="185" fontId="5" fillId="0" borderId="0" applyFont="0" applyFill="0" applyBorder="0" applyAlignment="0">
      <protection/>
    </xf>
    <xf numFmtId="185" fontId="5" fillId="0" borderId="0" applyFont="0" applyFill="0" applyBorder="0">
      <alignment/>
      <protection/>
    </xf>
    <xf numFmtId="186" fontId="5" fillId="0" borderId="0" applyFont="0" applyFill="0" applyBorder="0">
      <alignment/>
      <protection/>
    </xf>
    <xf numFmtId="2" fontId="5" fillId="0" borderId="0" applyFont="0" applyFill="0" applyBorder="0">
      <alignment/>
      <protection/>
    </xf>
    <xf numFmtId="184" fontId="5" fillId="0" borderId="0" applyFont="0" applyFill="0" applyBorder="0">
      <alignment/>
      <protection/>
    </xf>
    <xf numFmtId="191" fontId="5" fillId="0" borderId="0" applyFont="0" applyFill="0" applyBorder="0" applyAlignment="0">
      <protection/>
    </xf>
    <xf numFmtId="193" fontId="5" fillId="0" borderId="0" applyFont="0" applyFill="0" applyBorder="0">
      <alignment/>
      <protection/>
    </xf>
    <xf numFmtId="190" fontId="6" fillId="0" borderId="0" applyFill="0" applyBorder="0">
      <alignment/>
      <protection/>
    </xf>
    <xf numFmtId="190" fontId="6" fillId="0" borderId="0" applyFill="0" applyBorder="0">
      <alignment/>
      <protection/>
    </xf>
    <xf numFmtId="192" fontId="0" fillId="0" borderId="0" applyFont="0" applyFill="0" applyBorder="0" applyAlignment="0">
      <protection/>
    </xf>
    <xf numFmtId="189" fontId="5" fillId="0" borderId="0" applyFont="0" applyFill="0" applyBorder="0">
      <alignment/>
      <protection/>
    </xf>
    <xf numFmtId="0" fontId="1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0" fillId="28" borderId="0" applyNumberFormat="0" applyBorder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4" fillId="29" borderId="1" applyNumberFormat="0" applyAlignment="0" applyProtection="0"/>
    <xf numFmtId="0" fontId="125" fillId="0" borderId="7" applyNumberFormat="0" applyFill="0" applyAlignment="0" applyProtection="0"/>
    <xf numFmtId="0" fontId="126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53" fillId="0" borderId="0" applyNumberFormat="0" applyFill="0" applyBorder="0" applyAlignment="0">
      <protection/>
    </xf>
    <xf numFmtId="0" fontId="53" fillId="0" borderId="0" applyNumberFormat="0" applyFill="0" applyBorder="0" applyAlignment="0"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>
      <protection/>
    </xf>
    <xf numFmtId="0" fontId="35" fillId="0" borderId="0">
      <alignment/>
      <protection/>
    </xf>
    <xf numFmtId="0" fontId="0" fillId="31" borderId="8" applyNumberFormat="0" applyFont="0" applyAlignment="0" applyProtection="0"/>
    <xf numFmtId="0" fontId="127" fillId="26" borderId="9" applyNumberFormat="0" applyAlignment="0" applyProtection="0"/>
    <xf numFmtId="1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>
      <alignment/>
      <protection/>
    </xf>
    <xf numFmtId="0" fontId="128" fillId="0" borderId="0" applyNumberFormat="0" applyFill="0" applyBorder="0" applyAlignment="0" applyProtection="0"/>
    <xf numFmtId="0" fontId="1" fillId="0" borderId="0" applyBorder="0">
      <alignment/>
      <protection/>
    </xf>
    <xf numFmtId="0" fontId="129" fillId="0" borderId="10" applyNumberFormat="0" applyFill="0" applyAlignment="0" applyProtection="0"/>
    <xf numFmtId="0" fontId="130" fillId="0" borderId="0" applyNumberFormat="0" applyFill="0" applyBorder="0" applyAlignment="0" applyProtection="0"/>
  </cellStyleXfs>
  <cellXfs count="908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Continuous"/>
    </xf>
    <xf numFmtId="4" fontId="9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7" fillId="32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88" applyFont="1" applyFill="1" applyBorder="1" applyAlignment="1" applyProtection="1">
      <alignment wrapText="1"/>
      <protection/>
    </xf>
    <xf numFmtId="0" fontId="4" fillId="0" borderId="17" xfId="0" applyFont="1" applyFill="1" applyBorder="1" applyAlignment="1">
      <alignment/>
    </xf>
    <xf numFmtId="0" fontId="27" fillId="32" borderId="17" xfId="0" applyFont="1" applyFill="1" applyBorder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27" fillId="32" borderId="1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97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/>
    </xf>
    <xf numFmtId="0" fontId="4" fillId="0" borderId="13" xfId="88" applyFont="1" applyFill="1" applyBorder="1" applyAlignment="1" applyProtection="1">
      <alignment horizontal="right" wrapText="1"/>
      <protection/>
    </xf>
    <xf numFmtId="0" fontId="27" fillId="0" borderId="22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31" fillId="0" borderId="0" xfId="0" applyFont="1" applyAlignment="1" applyProtection="1" quotePrefix="1">
      <alignment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3" xfId="88" applyFont="1" applyFill="1" applyBorder="1" applyAlignment="1" applyProtection="1">
      <alignment horizontal="right" wrapText="1"/>
      <protection/>
    </xf>
    <xf numFmtId="0" fontId="4" fillId="0" borderId="17" xfId="88" applyFont="1" applyFill="1" applyBorder="1" applyAlignment="1" applyProtection="1">
      <alignment wrapText="1"/>
      <protection/>
    </xf>
    <xf numFmtId="0" fontId="4" fillId="0" borderId="23" xfId="88" applyFont="1" applyFill="1" applyBorder="1" applyAlignment="1" applyProtection="1">
      <alignment wrapText="1"/>
      <protection/>
    </xf>
    <xf numFmtId="0" fontId="28" fillId="32" borderId="22" xfId="0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0" fontId="28" fillId="32" borderId="11" xfId="0" applyFont="1" applyFill="1" applyBorder="1" applyAlignment="1">
      <alignment horizontal="center"/>
    </xf>
    <xf numFmtId="0" fontId="28" fillId="32" borderId="1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23" xfId="0" applyFont="1" applyBorder="1" applyAlignment="1">
      <alignment horizontal="center"/>
    </xf>
    <xf numFmtId="9" fontId="11" fillId="0" borderId="12" xfId="85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0" borderId="15" xfId="85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11" fillId="0" borderId="17" xfId="85" applyNumberFormat="1" applyFont="1" applyBorder="1" applyAlignment="1">
      <alignment horizontal="center"/>
    </xf>
    <xf numFmtId="0" fontId="32" fillId="32" borderId="22" xfId="0" applyFont="1" applyFill="1" applyBorder="1" applyAlignment="1">
      <alignment horizontal="center"/>
    </xf>
    <xf numFmtId="0" fontId="32" fillId="32" borderId="20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9" fontId="13" fillId="0" borderId="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9" fontId="13" fillId="0" borderId="23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4" xfId="88" applyFont="1" applyFill="1" applyBorder="1" applyAlignment="1" applyProtection="1">
      <alignment vertical="center"/>
      <protection/>
    </xf>
    <xf numFmtId="0" fontId="0" fillId="0" borderId="25" xfId="88" applyFont="1" applyFill="1" applyBorder="1" applyAlignment="1" applyProtection="1">
      <alignment vertical="center"/>
      <protection/>
    </xf>
    <xf numFmtId="0" fontId="35" fillId="0" borderId="0" xfId="82">
      <alignment/>
      <protection/>
    </xf>
    <xf numFmtId="3" fontId="19" fillId="0" borderId="13" xfId="82" applyNumberFormat="1" applyFont="1" applyBorder="1" applyAlignment="1">
      <alignment horizontal="center"/>
      <protection/>
    </xf>
    <xf numFmtId="3" fontId="19" fillId="0" borderId="13" xfId="82" applyNumberFormat="1" applyFont="1" applyFill="1" applyBorder="1" applyAlignment="1">
      <alignment horizontal="centerContinuous" vertical="center"/>
      <protection/>
    </xf>
    <xf numFmtId="0" fontId="0" fillId="0" borderId="16" xfId="82" applyFont="1" applyBorder="1" applyAlignment="1">
      <alignment horizontal="center"/>
      <protection/>
    </xf>
    <xf numFmtId="0" fontId="0" fillId="0" borderId="13" xfId="82" applyFont="1" applyBorder="1" applyAlignment="1">
      <alignment horizont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" xfId="0" applyFont="1" applyBorder="1" applyAlignment="1">
      <alignment/>
    </xf>
    <xf numFmtId="0" fontId="38" fillId="32" borderId="22" xfId="0" applyFont="1" applyFill="1" applyBorder="1" applyAlignment="1">
      <alignment horizontal="center" wrapText="1"/>
    </xf>
    <xf numFmtId="0" fontId="38" fillId="32" borderId="23" xfId="0" applyFont="1" applyFill="1" applyBorder="1" applyAlignment="1">
      <alignment horizontal="center" wrapText="1"/>
    </xf>
    <xf numFmtId="0" fontId="38" fillId="32" borderId="16" xfId="0" applyFont="1" applyFill="1" applyBorder="1" applyAlignment="1">
      <alignment horizontal="center"/>
    </xf>
    <xf numFmtId="2" fontId="11" fillId="0" borderId="15" xfId="85" applyNumberFormat="1" applyFont="1" applyBorder="1" applyAlignment="1">
      <alignment horizontal="center"/>
    </xf>
    <xf numFmtId="2" fontId="11" fillId="0" borderId="17" xfId="85" applyNumberFormat="1" applyFont="1" applyBorder="1" applyAlignment="1">
      <alignment horizontal="center"/>
    </xf>
    <xf numFmtId="9" fontId="11" fillId="0" borderId="15" xfId="85" applyNumberFormat="1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 locked="0"/>
    </xf>
    <xf numFmtId="197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center"/>
      <protection/>
    </xf>
    <xf numFmtId="0" fontId="18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18" xfId="82" applyFont="1" applyBorder="1" applyAlignment="1">
      <alignment horizontal="center"/>
      <protection/>
    </xf>
    <xf numFmtId="9" fontId="9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wrapText="1"/>
      <protection/>
    </xf>
    <xf numFmtId="0" fontId="22" fillId="0" borderId="28" xfId="90" applyFont="1" applyBorder="1" applyAlignment="1">
      <alignment horizontal="center"/>
      <protection/>
    </xf>
    <xf numFmtId="0" fontId="22" fillId="0" borderId="28" xfId="90" applyFont="1" applyBorder="1" applyAlignment="1">
      <alignment horizontal="center"/>
      <protection/>
    </xf>
    <xf numFmtId="0" fontId="1" fillId="0" borderId="28" xfId="90" applyBorder="1" applyAlignment="1">
      <alignment horizontal="center"/>
      <protection/>
    </xf>
    <xf numFmtId="4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0" fillId="32" borderId="33" xfId="0" applyFont="1" applyFill="1" applyBorder="1" applyAlignment="1" applyProtection="1">
      <alignment horizontal="centerContinuous" wrapText="1"/>
      <protection/>
    </xf>
    <xf numFmtId="0" fontId="36" fillId="32" borderId="33" xfId="0" applyFont="1" applyFill="1" applyBorder="1" applyAlignment="1" applyProtection="1">
      <alignment horizontal="centerContinuous" wrapText="1"/>
      <protection/>
    </xf>
    <xf numFmtId="0" fontId="29" fillId="32" borderId="34" xfId="68" applyFont="1" applyFill="1" applyBorder="1" applyAlignment="1" applyProtection="1">
      <alignment horizontal="centerContinuous" vertical="center" wrapText="1"/>
      <protection/>
    </xf>
    <xf numFmtId="0" fontId="30" fillId="32" borderId="33" xfId="0" applyFont="1" applyFill="1" applyBorder="1" applyAlignment="1" applyProtection="1">
      <alignment horizontal="centerContinuous" vertical="center"/>
      <protection/>
    </xf>
    <xf numFmtId="0" fontId="0" fillId="32" borderId="34" xfId="0" applyFont="1" applyFill="1" applyBorder="1" applyAlignment="1" applyProtection="1">
      <alignment horizontal="centerContinuous" vertical="center"/>
      <protection/>
    </xf>
    <xf numFmtId="0" fontId="18" fillId="32" borderId="35" xfId="0" applyFont="1" applyFill="1" applyBorder="1" applyAlignment="1" applyProtection="1">
      <alignment horizontal="centerContinuous" vertical="center" wrapText="1"/>
      <protection/>
    </xf>
    <xf numFmtId="0" fontId="12" fillId="32" borderId="36" xfId="0" applyFont="1" applyFill="1" applyBorder="1" applyAlignment="1" applyProtection="1">
      <alignment horizontal="centerContinuous" vertical="center"/>
      <protection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9" fillId="0" borderId="13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42" fillId="0" borderId="3" xfId="0" applyFont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/>
    </xf>
    <xf numFmtId="192" fontId="14" fillId="0" borderId="37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Border="1" applyAlignment="1">
      <alignment horizontal="center"/>
    </xf>
    <xf numFmtId="49" fontId="14" fillId="0" borderId="38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vertical="center"/>
      <protection/>
    </xf>
    <xf numFmtId="0" fontId="27" fillId="32" borderId="18" xfId="0" applyFont="1" applyFill="1" applyBorder="1" applyAlignment="1" applyProtection="1">
      <alignment wrapText="1"/>
      <protection/>
    </xf>
    <xf numFmtId="0" fontId="27" fillId="32" borderId="41" xfId="0" applyFont="1" applyFill="1" applyBorder="1" applyAlignment="1" applyProtection="1">
      <alignment wrapText="1"/>
      <protection/>
    </xf>
    <xf numFmtId="0" fontId="27" fillId="0" borderId="13" xfId="0" applyFont="1" applyFill="1" applyBorder="1" applyAlignment="1" applyProtection="1">
      <alignment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12" fillId="32" borderId="42" xfId="0" applyFont="1" applyFill="1" applyBorder="1" applyAlignment="1" applyProtection="1">
      <alignment horizontal="centerContinuous" vertical="center"/>
      <protection/>
    </xf>
    <xf numFmtId="198" fontId="12" fillId="0" borderId="0" xfId="0" applyNumberFormat="1" applyFont="1" applyFill="1" applyBorder="1" applyAlignment="1" applyProtection="1">
      <alignment horizontal="center" vertical="center"/>
      <protection locked="0"/>
    </xf>
    <xf numFmtId="198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21" fillId="0" borderId="35" xfId="82" applyFont="1" applyFill="1" applyBorder="1" applyAlignment="1">
      <alignment horizontal="left"/>
      <protection/>
    </xf>
    <xf numFmtId="0" fontId="4" fillId="0" borderId="36" xfId="0" applyFont="1" applyBorder="1" applyAlignment="1">
      <alignment/>
    </xf>
    <xf numFmtId="0" fontId="21" fillId="0" borderId="46" xfId="82" applyFont="1" applyFill="1" applyBorder="1" applyAlignment="1">
      <alignment horizontal="left"/>
      <protection/>
    </xf>
    <xf numFmtId="3" fontId="6" fillId="0" borderId="39" xfId="82" applyNumberFormat="1" applyFont="1" applyBorder="1" applyAlignment="1">
      <alignment horizontal="center"/>
      <protection/>
    </xf>
    <xf numFmtId="0" fontId="8" fillId="0" borderId="47" xfId="82" applyFont="1" applyBorder="1" applyAlignment="1">
      <alignment horizontal="center"/>
      <protection/>
    </xf>
    <xf numFmtId="0" fontId="0" fillId="0" borderId="48" xfId="82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6" fillId="32" borderId="38" xfId="82" applyFont="1" applyFill="1" applyBorder="1" applyAlignment="1">
      <alignment horizontal="center"/>
      <protection/>
    </xf>
    <xf numFmtId="0" fontId="19" fillId="32" borderId="17" xfId="82" applyFont="1" applyFill="1" applyBorder="1" applyAlignment="1" quotePrefix="1">
      <alignment horizontal="center"/>
      <protection/>
    </xf>
    <xf numFmtId="0" fontId="19" fillId="32" borderId="17" xfId="82" applyFont="1" applyFill="1" applyBorder="1" applyAlignment="1">
      <alignment horizontal="centerContinuous"/>
      <protection/>
    </xf>
    <xf numFmtId="0" fontId="19" fillId="32" borderId="49" xfId="82" applyFont="1" applyFill="1" applyBorder="1" applyAlignment="1" quotePrefix="1">
      <alignment horizontal="centerContinuous"/>
      <protection/>
    </xf>
    <xf numFmtId="0" fontId="35" fillId="0" borderId="50" xfId="82" applyBorder="1">
      <alignment/>
      <protection/>
    </xf>
    <xf numFmtId="0" fontId="35" fillId="0" borderId="51" xfId="82" applyBorder="1">
      <alignment/>
      <protection/>
    </xf>
    <xf numFmtId="0" fontId="0" fillId="32" borderId="34" xfId="0" applyFont="1" applyFill="1" applyBorder="1" applyAlignment="1" applyProtection="1">
      <alignment horizontal="centerContinuous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10" fillId="32" borderId="52" xfId="0" applyFont="1" applyFill="1" applyBorder="1" applyAlignment="1" applyProtection="1">
      <alignment horizontal="centerContinuous" vertical="center"/>
      <protection/>
    </xf>
    <xf numFmtId="0" fontId="10" fillId="32" borderId="52" xfId="0" applyFont="1" applyFill="1" applyBorder="1" applyAlignment="1" applyProtection="1">
      <alignment horizontal="centerContinuous" vertical="center" wrapText="1"/>
      <protection/>
    </xf>
    <xf numFmtId="0" fontId="9" fillId="0" borderId="53" xfId="88" applyFont="1" applyFill="1" applyBorder="1" applyAlignment="1" applyProtection="1">
      <alignment vertical="center"/>
      <protection/>
    </xf>
    <xf numFmtId="0" fontId="10" fillId="32" borderId="35" xfId="0" applyFont="1" applyFill="1" applyBorder="1" applyAlignment="1" applyProtection="1">
      <alignment horizontal="centerContinuous" vertical="center" wrapText="1"/>
      <protection/>
    </xf>
    <xf numFmtId="0" fontId="9" fillId="0" borderId="54" xfId="0" applyFont="1" applyBorder="1" applyAlignment="1" applyProtection="1">
      <alignment vertical="center"/>
      <protection/>
    </xf>
    <xf numFmtId="0" fontId="43" fillId="32" borderId="33" xfId="0" applyFont="1" applyFill="1" applyBorder="1" applyAlignment="1" applyProtection="1">
      <alignment horizontal="centerContinuous" wrapText="1"/>
      <protection/>
    </xf>
    <xf numFmtId="0" fontId="43" fillId="32" borderId="34" xfId="0" applyFont="1" applyFill="1" applyBorder="1" applyAlignment="1" applyProtection="1">
      <alignment horizontal="centerContinuous" wrapText="1"/>
      <protection/>
    </xf>
    <xf numFmtId="0" fontId="48" fillId="0" borderId="0" xfId="0" applyFont="1" applyAlignment="1" applyProtection="1">
      <alignment/>
      <protection/>
    </xf>
    <xf numFmtId="0" fontId="49" fillId="0" borderId="41" xfId="0" applyFont="1" applyBorder="1" applyAlignment="1" applyProtection="1">
      <alignment horizontal="left" wrapText="1"/>
      <protection/>
    </xf>
    <xf numFmtId="0" fontId="49" fillId="0" borderId="19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15" fillId="0" borderId="54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53" xfId="0" applyFont="1" applyFill="1" applyBorder="1" applyAlignment="1" applyProtection="1">
      <alignment vertical="center"/>
      <protection/>
    </xf>
    <xf numFmtId="0" fontId="9" fillId="0" borderId="55" xfId="88" applyFont="1" applyFill="1" applyBorder="1" applyAlignment="1" applyProtection="1">
      <alignment vertical="center"/>
      <protection/>
    </xf>
    <xf numFmtId="0" fontId="15" fillId="0" borderId="54" xfId="88" applyFont="1" applyFill="1" applyBorder="1" applyAlignment="1" applyProtection="1">
      <alignment vertical="center" wrapText="1"/>
      <protection/>
    </xf>
    <xf numFmtId="0" fontId="15" fillId="0" borderId="53" xfId="88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197" fontId="12" fillId="0" borderId="24" xfId="0" applyNumberFormat="1" applyFont="1" applyFill="1" applyBorder="1" applyAlignment="1" applyProtection="1">
      <alignment horizontal="center" vertical="center"/>
      <protection locked="0"/>
    </xf>
    <xf numFmtId="197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0" fillId="0" borderId="43" xfId="0" applyFont="1" applyBorder="1" applyAlignment="1" applyProtection="1">
      <alignment horizontal="right"/>
      <protection/>
    </xf>
    <xf numFmtId="0" fontId="54" fillId="0" borderId="0" xfId="68" applyFont="1" applyFill="1" applyBorder="1" applyAlignment="1" applyProtection="1">
      <alignment horizontal="right" vertical="center"/>
      <protection/>
    </xf>
    <xf numFmtId="0" fontId="55" fillId="0" borderId="0" xfId="68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wrapText="1"/>
      <protection/>
    </xf>
    <xf numFmtId="0" fontId="55" fillId="0" borderId="0" xfId="68" applyFont="1" applyFill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 quotePrefix="1">
      <alignment/>
      <protection/>
    </xf>
    <xf numFmtId="0" fontId="31" fillId="0" borderId="14" xfId="0" applyFont="1" applyBorder="1" applyAlignment="1" applyProtection="1" quotePrefix="1">
      <alignment/>
      <protection/>
    </xf>
    <xf numFmtId="0" fontId="56" fillId="0" borderId="16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7" xfId="0" applyFont="1" applyBorder="1" applyAlignment="1" applyProtection="1">
      <alignment wrapText="1"/>
      <protection/>
    </xf>
    <xf numFmtId="0" fontId="44" fillId="0" borderId="12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38" fillId="32" borderId="3" xfId="0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 applyProtection="1">
      <alignment horizontal="right"/>
      <protection/>
    </xf>
    <xf numFmtId="0" fontId="61" fillId="0" borderId="3" xfId="0" applyFont="1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9" fillId="0" borderId="20" xfId="0" applyFont="1" applyBorder="1" applyAlignment="1">
      <alignment horizontal="centerContinuous"/>
    </xf>
    <xf numFmtId="0" fontId="17" fillId="0" borderId="28" xfId="0" applyFont="1" applyFill="1" applyBorder="1" applyAlignment="1">
      <alignment/>
    </xf>
    <xf numFmtId="4" fontId="0" fillId="0" borderId="43" xfId="49" applyNumberFormat="1" applyFont="1" applyFill="1" applyBorder="1" applyAlignment="1">
      <alignment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0" fillId="0" borderId="48" xfId="90" applyNumberFormat="1" applyFont="1" applyFill="1" applyBorder="1" applyAlignment="1">
      <alignment/>
      <protection/>
    </xf>
    <xf numFmtId="4" fontId="0" fillId="0" borderId="43" xfId="90" applyNumberFormat="1" applyFont="1" applyFill="1" applyBorder="1" applyAlignment="1">
      <alignment/>
      <protection/>
    </xf>
    <xf numFmtId="0" fontId="9" fillId="0" borderId="32" xfId="0" applyFont="1" applyBorder="1" applyAlignment="1">
      <alignment/>
    </xf>
    <xf numFmtId="0" fontId="18" fillId="32" borderId="41" xfId="0" applyFont="1" applyFill="1" applyBorder="1" applyAlignment="1">
      <alignment horizontal="center"/>
    </xf>
    <xf numFmtId="196" fontId="35" fillId="0" borderId="3" xfId="0" applyNumberFormat="1" applyFont="1" applyFill="1" applyBorder="1" applyAlignment="1">
      <alignment/>
    </xf>
    <xf numFmtId="196" fontId="35" fillId="0" borderId="23" xfId="0" applyNumberFormat="1" applyFont="1" applyFill="1" applyBorder="1" applyAlignment="1">
      <alignment/>
    </xf>
    <xf numFmtId="196" fontId="18" fillId="0" borderId="22" xfId="0" applyNumberFormat="1" applyFont="1" applyFill="1" applyBorder="1" applyAlignment="1">
      <alignment/>
    </xf>
    <xf numFmtId="196" fontId="18" fillId="32" borderId="19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196" fontId="18" fillId="32" borderId="19" xfId="0" applyNumberFormat="1" applyFont="1" applyFill="1" applyBorder="1" applyAlignment="1">
      <alignment horizontal="right"/>
    </xf>
    <xf numFmtId="1" fontId="35" fillId="0" borderId="0" xfId="0" applyNumberFormat="1" applyFont="1" applyAlignment="1">
      <alignment/>
    </xf>
    <xf numFmtId="0" fontId="62" fillId="0" borderId="0" xfId="0" applyFont="1" applyAlignment="1">
      <alignment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42" fillId="0" borderId="3" xfId="0" applyFont="1" applyFill="1" applyBorder="1" applyAlignment="1" applyProtection="1">
      <alignment wrapText="1"/>
      <protection/>
    </xf>
    <xf numFmtId="0" fontId="42" fillId="0" borderId="3" xfId="0" applyFont="1" applyBorder="1" applyAlignment="1" applyProtection="1">
      <alignment wrapText="1"/>
      <protection/>
    </xf>
    <xf numFmtId="0" fontId="41" fillId="0" borderId="24" xfId="0" applyFont="1" applyFill="1" applyBorder="1" applyAlignment="1" applyProtection="1">
      <alignment vertical="center"/>
      <protection/>
    </xf>
    <xf numFmtId="0" fontId="64" fillId="0" borderId="3" xfId="0" applyFont="1" applyBorder="1" applyAlignment="1" applyProtection="1">
      <alignment wrapText="1"/>
      <protection/>
    </xf>
    <xf numFmtId="0" fontId="13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6" fillId="0" borderId="22" xfId="0" applyFont="1" applyFill="1" applyBorder="1" applyAlignment="1">
      <alignment horizontal="center"/>
    </xf>
    <xf numFmtId="0" fontId="63" fillId="0" borderId="23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5" fillId="32" borderId="22" xfId="0" applyFont="1" applyFill="1" applyBorder="1" applyAlignment="1">
      <alignment horizontal="center"/>
    </xf>
    <xf numFmtId="0" fontId="65" fillId="32" borderId="20" xfId="0" applyFont="1" applyFill="1" applyBorder="1" applyAlignment="1">
      <alignment horizontal="center"/>
    </xf>
    <xf numFmtId="0" fontId="67" fillId="0" borderId="3" xfId="0" applyFont="1" applyBorder="1" applyAlignment="1" applyProtection="1">
      <alignment wrapText="1"/>
      <protection/>
    </xf>
    <xf numFmtId="14" fontId="42" fillId="0" borderId="3" xfId="0" applyNumberFormat="1" applyFont="1" applyBorder="1" applyAlignment="1" applyProtection="1">
      <alignment horizontal="left" wrapText="1"/>
      <protection/>
    </xf>
    <xf numFmtId="0" fontId="18" fillId="32" borderId="18" xfId="0" applyFont="1" applyFill="1" applyBorder="1" applyAlignment="1">
      <alignment horizontal="centerContinuous"/>
    </xf>
    <xf numFmtId="0" fontId="52" fillId="0" borderId="0" xfId="0" applyFont="1" applyAlignment="1">
      <alignment/>
    </xf>
    <xf numFmtId="0" fontId="68" fillId="0" borderId="0" xfId="68" applyFont="1" applyBorder="1" applyAlignment="1" applyProtection="1" quotePrefix="1">
      <alignment horizontal="center" vertical="center"/>
      <protection/>
    </xf>
    <xf numFmtId="0" fontId="35" fillId="32" borderId="58" xfId="0" applyFont="1" applyFill="1" applyBorder="1" applyAlignment="1">
      <alignment horizontal="centerContinuous"/>
    </xf>
    <xf numFmtId="0" fontId="35" fillId="32" borderId="19" xfId="0" applyFont="1" applyFill="1" applyBorder="1" applyAlignment="1">
      <alignment horizontal="centerContinuous"/>
    </xf>
    <xf numFmtId="0" fontId="35" fillId="0" borderId="1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5" xfId="0" applyFont="1" applyBorder="1" applyAlignment="1">
      <alignment/>
    </xf>
    <xf numFmtId="0" fontId="35" fillId="0" borderId="12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Border="1" applyAlignment="1">
      <alignment/>
    </xf>
    <xf numFmtId="2" fontId="35" fillId="0" borderId="14" xfId="0" applyNumberFormat="1" applyFont="1" applyFill="1" applyBorder="1" applyAlignment="1">
      <alignment/>
    </xf>
    <xf numFmtId="0" fontId="69" fillId="0" borderId="0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188" fontId="35" fillId="0" borderId="0" xfId="85" applyNumberFormat="1" applyFont="1" applyFill="1" applyBorder="1" applyAlignment="1">
      <alignment horizontal="right"/>
    </xf>
    <xf numFmtId="10" fontId="35" fillId="0" borderId="0" xfId="85" applyNumberFormat="1" applyFont="1" applyFill="1" applyBorder="1" applyAlignment="1">
      <alignment horizontal="right"/>
    </xf>
    <xf numFmtId="10" fontId="35" fillId="0" borderId="15" xfId="85" applyFont="1" applyBorder="1" applyAlignment="1">
      <alignment horizontal="right"/>
    </xf>
    <xf numFmtId="0" fontId="69" fillId="0" borderId="15" xfId="0" applyFont="1" applyBorder="1" applyAlignment="1" applyProtection="1">
      <alignment horizontal="left"/>
      <protection/>
    </xf>
    <xf numFmtId="0" fontId="18" fillId="32" borderId="18" xfId="0" applyFont="1" applyFill="1" applyBorder="1" applyAlignment="1">
      <alignment/>
    </xf>
    <xf numFmtId="0" fontId="18" fillId="32" borderId="58" xfId="0" applyFont="1" applyFill="1" applyBorder="1" applyAlignment="1">
      <alignment/>
    </xf>
    <xf numFmtId="0" fontId="18" fillId="32" borderId="19" xfId="0" applyFont="1" applyFill="1" applyBorder="1" applyAlignment="1">
      <alignment/>
    </xf>
    <xf numFmtId="0" fontId="35" fillId="0" borderId="0" xfId="0" applyFont="1" applyFill="1" applyAlignment="1">
      <alignment/>
    </xf>
    <xf numFmtId="0" fontId="18" fillId="32" borderId="18" xfId="0" applyFont="1" applyFill="1" applyBorder="1" applyAlignment="1">
      <alignment wrapText="1"/>
    </xf>
    <xf numFmtId="196" fontId="35" fillId="32" borderId="41" xfId="0" applyNumberFormat="1" applyFont="1" applyFill="1" applyBorder="1" applyAlignment="1">
      <alignment horizontal="center"/>
    </xf>
    <xf numFmtId="0" fontId="35" fillId="0" borderId="16" xfId="0" applyFont="1" applyBorder="1" applyAlignment="1">
      <alignment/>
    </xf>
    <xf numFmtId="9" fontId="35" fillId="0" borderId="22" xfId="0" applyNumberFormat="1" applyFont="1" applyBorder="1" applyAlignment="1">
      <alignment horizontal="center"/>
    </xf>
    <xf numFmtId="4" fontId="35" fillId="0" borderId="22" xfId="0" applyNumberFormat="1" applyFont="1" applyBorder="1" applyAlignment="1">
      <alignment horizontal="center"/>
    </xf>
    <xf numFmtId="188" fontId="35" fillId="0" borderId="20" xfId="85" applyNumberFormat="1" applyFont="1" applyFill="1" applyBorder="1" applyAlignment="1">
      <alignment horizontal="center"/>
    </xf>
    <xf numFmtId="0" fontId="35" fillId="0" borderId="13" xfId="0" applyFont="1" applyBorder="1" applyAlignment="1">
      <alignment/>
    </xf>
    <xf numFmtId="9" fontId="35" fillId="0" borderId="3" xfId="0" applyNumberFormat="1" applyFont="1" applyBorder="1" applyAlignment="1">
      <alignment horizontal="center"/>
    </xf>
    <xf numFmtId="4" fontId="35" fillId="0" borderId="3" xfId="0" applyNumberFormat="1" applyFont="1" applyBorder="1" applyAlignment="1">
      <alignment horizontal="center"/>
    </xf>
    <xf numFmtId="188" fontId="35" fillId="0" borderId="14" xfId="85" applyNumberFormat="1" applyFont="1" applyFill="1" applyBorder="1" applyAlignment="1">
      <alignment horizontal="center"/>
    </xf>
    <xf numFmtId="0" fontId="35" fillId="0" borderId="59" xfId="0" applyFont="1" applyBorder="1" applyAlignment="1">
      <alignment/>
    </xf>
    <xf numFmtId="9" fontId="35" fillId="0" borderId="60" xfId="0" applyNumberFormat="1" applyFont="1" applyBorder="1" applyAlignment="1">
      <alignment horizontal="center"/>
    </xf>
    <xf numFmtId="4" fontId="35" fillId="0" borderId="60" xfId="0" applyNumberFormat="1" applyFont="1" applyBorder="1" applyAlignment="1">
      <alignment horizontal="center"/>
    </xf>
    <xf numFmtId="188" fontId="35" fillId="0" borderId="61" xfId="85" applyNumberFormat="1" applyFont="1" applyFill="1" applyBorder="1" applyAlignment="1">
      <alignment horizontal="center"/>
    </xf>
    <xf numFmtId="9" fontId="35" fillId="32" borderId="41" xfId="85" applyNumberFormat="1" applyFont="1" applyFill="1" applyBorder="1" applyAlignment="1">
      <alignment/>
    </xf>
    <xf numFmtId="4" fontId="35" fillId="32" borderId="18" xfId="0" applyNumberFormat="1" applyFont="1" applyFill="1" applyBorder="1" applyAlignment="1">
      <alignment horizontal="center"/>
    </xf>
    <xf numFmtId="188" fontId="35" fillId="32" borderId="19" xfId="85" applyNumberFormat="1" applyFont="1" applyFill="1" applyBorder="1" applyAlignment="1">
      <alignment horizontal="center"/>
    </xf>
    <xf numFmtId="0" fontId="59" fillId="0" borderId="0" xfId="0" applyFont="1" applyBorder="1" applyAlignment="1" applyProtection="1">
      <alignment horizontal="left"/>
      <protection/>
    </xf>
    <xf numFmtId="0" fontId="13" fillId="0" borderId="23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196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32" borderId="62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Continuous"/>
    </xf>
    <xf numFmtId="0" fontId="0" fillId="32" borderId="63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Continuous"/>
    </xf>
    <xf numFmtId="0" fontId="12" fillId="32" borderId="64" xfId="0" applyFont="1" applyFill="1" applyBorder="1" applyAlignment="1">
      <alignment horizontal="center"/>
    </xf>
    <xf numFmtId="196" fontId="71" fillId="0" borderId="0" xfId="0" applyNumberFormat="1" applyFont="1" applyFill="1" applyBorder="1" applyAlignment="1">
      <alignment/>
    </xf>
    <xf numFmtId="0" fontId="72" fillId="0" borderId="0" xfId="0" applyFont="1" applyAlignment="1" applyProtection="1">
      <alignment horizontal="right"/>
      <protection/>
    </xf>
    <xf numFmtId="0" fontId="74" fillId="0" borderId="0" xfId="0" applyFont="1" applyFill="1" applyBorder="1" applyAlignment="1">
      <alignment horizontal="center"/>
    </xf>
    <xf numFmtId="0" fontId="67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vertical="center"/>
      <protection/>
    </xf>
    <xf numFmtId="4" fontId="19" fillId="0" borderId="13" xfId="82" applyNumberFormat="1" applyFont="1" applyFill="1" applyBorder="1" applyAlignment="1">
      <alignment horizontal="centerContinuous" vertical="center"/>
      <protection/>
    </xf>
    <xf numFmtId="4" fontId="19" fillId="0" borderId="65" xfId="82" applyNumberFormat="1" applyFont="1" applyFill="1" applyBorder="1" applyAlignment="1">
      <alignment horizontal="centerContinuous" vertical="center"/>
      <protection/>
    </xf>
    <xf numFmtId="0" fontId="35" fillId="0" borderId="15" xfId="0" applyFont="1" applyFill="1" applyBorder="1" applyAlignment="1">
      <alignment horizontal="right"/>
    </xf>
    <xf numFmtId="196" fontId="18" fillId="0" borderId="15" xfId="0" applyNumberFormat="1" applyFont="1" applyFill="1" applyBorder="1" applyAlignment="1">
      <alignment horizontal="center"/>
    </xf>
    <xf numFmtId="0" fontId="35" fillId="32" borderId="58" xfId="0" applyFont="1" applyFill="1" applyBorder="1" applyAlignment="1">
      <alignment horizontal="center"/>
    </xf>
    <xf numFmtId="0" fontId="15" fillId="0" borderId="53" xfId="0" applyFont="1" applyFill="1" applyBorder="1" applyAlignment="1" applyProtection="1">
      <alignment horizontal="right" vertical="center"/>
      <protection/>
    </xf>
    <xf numFmtId="0" fontId="22" fillId="0" borderId="32" xfId="90" applyFont="1" applyBorder="1" applyAlignment="1">
      <alignment horizontal="center"/>
      <protection/>
    </xf>
    <xf numFmtId="0" fontId="9" fillId="0" borderId="28" xfId="0" applyFont="1" applyBorder="1" applyAlignment="1">
      <alignment/>
    </xf>
    <xf numFmtId="0" fontId="17" fillId="0" borderId="63" xfId="0" applyFont="1" applyBorder="1" applyAlignment="1">
      <alignment horizontal="center" wrapText="1"/>
    </xf>
    <xf numFmtId="0" fontId="33" fillId="35" borderId="6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53" fillId="0" borderId="3" xfId="90" applyFont="1" applyBorder="1" applyAlignment="1">
      <alignment horizontal="center"/>
      <protection/>
    </xf>
    <xf numFmtId="0" fontId="53" fillId="0" borderId="3" xfId="90" applyFont="1" applyBorder="1" applyAlignment="1">
      <alignment horizontal="center"/>
      <protection/>
    </xf>
    <xf numFmtId="0" fontId="5" fillId="0" borderId="3" xfId="90" applyFont="1" applyBorder="1" applyAlignment="1">
      <alignment horizontal="center"/>
      <protection/>
    </xf>
    <xf numFmtId="0" fontId="53" fillId="0" borderId="23" xfId="90" applyFont="1" applyBorder="1" applyAlignment="1">
      <alignment horizontal="center"/>
      <protection/>
    </xf>
    <xf numFmtId="0" fontId="13" fillId="0" borderId="66" xfId="0" applyFont="1" applyBorder="1" applyAlignment="1">
      <alignment/>
    </xf>
    <xf numFmtId="0" fontId="32" fillId="32" borderId="67" xfId="0" applyFont="1" applyFill="1" applyBorder="1" applyAlignment="1">
      <alignment horizontal="center"/>
    </xf>
    <xf numFmtId="0" fontId="13" fillId="0" borderId="68" xfId="0" applyFont="1" applyBorder="1" applyAlignment="1" applyProtection="1">
      <alignment horizontal="center"/>
      <protection locked="0"/>
    </xf>
    <xf numFmtId="9" fontId="13" fillId="0" borderId="67" xfId="0" applyNumberFormat="1" applyFont="1" applyBorder="1" applyAlignment="1">
      <alignment horizontal="center"/>
    </xf>
    <xf numFmtId="9" fontId="13" fillId="0" borderId="66" xfId="0" applyNumberFormat="1" applyFont="1" applyBorder="1" applyAlignment="1">
      <alignment horizontal="center"/>
    </xf>
    <xf numFmtId="9" fontId="13" fillId="0" borderId="66" xfId="85" applyNumberFormat="1" applyFont="1" applyBorder="1" applyAlignment="1">
      <alignment horizontal="center"/>
    </xf>
    <xf numFmtId="0" fontId="13" fillId="0" borderId="69" xfId="0" applyFont="1" applyBorder="1" applyAlignment="1">
      <alignment/>
    </xf>
    <xf numFmtId="9" fontId="13" fillId="0" borderId="70" xfId="0" applyNumberFormat="1" applyFont="1" applyBorder="1" applyAlignment="1">
      <alignment horizontal="center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Alignment="1" applyProtection="1">
      <alignment wrapText="1"/>
      <protection/>
    </xf>
    <xf numFmtId="9" fontId="78" fillId="0" borderId="68" xfId="0" applyNumberFormat="1" applyFont="1" applyBorder="1" applyAlignment="1">
      <alignment horizontal="center"/>
    </xf>
    <xf numFmtId="0" fontId="73" fillId="0" borderId="71" xfId="0" applyFont="1" applyBorder="1" applyAlignment="1">
      <alignment/>
    </xf>
    <xf numFmtId="202" fontId="79" fillId="0" borderId="23" xfId="0" applyNumberFormat="1" applyFont="1" applyBorder="1" applyAlignment="1">
      <alignment horizontal="center"/>
    </xf>
    <xf numFmtId="202" fontId="80" fillId="0" borderId="0" xfId="0" applyNumberFormat="1" applyFont="1" applyBorder="1" applyAlignment="1">
      <alignment horizontal="left"/>
    </xf>
    <xf numFmtId="0" fontId="9" fillId="0" borderId="72" xfId="88" applyFont="1" applyFill="1" applyBorder="1" applyAlignment="1" applyProtection="1">
      <alignment vertical="center"/>
      <protection/>
    </xf>
    <xf numFmtId="0" fontId="0" fillId="0" borderId="73" xfId="88" applyFont="1" applyFill="1" applyBorder="1" applyAlignment="1" applyProtection="1">
      <alignment vertical="center"/>
      <protection/>
    </xf>
    <xf numFmtId="0" fontId="0" fillId="0" borderId="74" xfId="88" applyFont="1" applyFill="1" applyBorder="1" applyAlignment="1" applyProtection="1">
      <alignment vertical="center"/>
      <protection/>
    </xf>
    <xf numFmtId="0" fontId="45" fillId="0" borderId="3" xfId="0" applyFont="1" applyBorder="1" applyAlignment="1" applyProtection="1">
      <alignment/>
      <protection/>
    </xf>
    <xf numFmtId="0" fontId="32" fillId="32" borderId="16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3" fillId="0" borderId="13" xfId="0" applyNumberFormat="1" applyFont="1" applyBorder="1" applyAlignment="1">
      <alignment horizontal="center"/>
    </xf>
    <xf numFmtId="9" fontId="13" fillId="0" borderId="13" xfId="85" applyNumberFormat="1" applyFont="1" applyBorder="1" applyAlignment="1">
      <alignment horizontal="center"/>
    </xf>
    <xf numFmtId="0" fontId="53" fillId="0" borderId="14" xfId="90" applyFont="1" applyBorder="1" applyAlignment="1">
      <alignment horizontal="center"/>
      <protection/>
    </xf>
    <xf numFmtId="0" fontId="53" fillId="0" borderId="14" xfId="90" applyFont="1" applyBorder="1" applyAlignment="1">
      <alignment horizontal="center"/>
      <protection/>
    </xf>
    <xf numFmtId="0" fontId="10" fillId="0" borderId="64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" fontId="0" fillId="0" borderId="75" xfId="49" applyNumberFormat="1" applyFont="1" applyFill="1" applyBorder="1" applyAlignment="1" quotePrefix="1">
      <alignment/>
      <protection/>
    </xf>
    <xf numFmtId="0" fontId="83" fillId="0" borderId="0" xfId="68" applyFont="1" applyBorder="1" applyAlignment="1" applyProtection="1" quotePrefix="1">
      <alignment vertical="center"/>
      <protection/>
    </xf>
    <xf numFmtId="0" fontId="81" fillId="0" borderId="0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horizontal="right"/>
      <protection/>
    </xf>
    <xf numFmtId="14" fontId="16" fillId="32" borderId="22" xfId="79" applyNumberFormat="1" applyFont="1" applyFill="1" applyBorder="1">
      <alignment/>
      <protection/>
    </xf>
    <xf numFmtId="0" fontId="0" fillId="0" borderId="0" xfId="79" applyFill="1">
      <alignment/>
      <protection/>
    </xf>
    <xf numFmtId="0" fontId="12" fillId="0" borderId="0" xfId="76" applyFont="1">
      <alignment/>
      <protection/>
    </xf>
    <xf numFmtId="15" fontId="10" fillId="36" borderId="76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2" fontId="40" fillId="36" borderId="14" xfId="0" applyNumberFormat="1" applyFont="1" applyFill="1" applyBorder="1" applyAlignment="1">
      <alignment/>
    </xf>
    <xf numFmtId="10" fontId="50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6" fillId="0" borderId="41" xfId="0" applyFont="1" applyBorder="1" applyAlignment="1">
      <alignment horizontal="center"/>
    </xf>
    <xf numFmtId="9" fontId="9" fillId="36" borderId="22" xfId="0" applyNumberFormat="1" applyFont="1" applyFill="1" applyBorder="1" applyAlignment="1">
      <alignment/>
    </xf>
    <xf numFmtId="0" fontId="40" fillId="0" borderId="3" xfId="0" applyFont="1" applyFill="1" applyBorder="1" applyAlignment="1">
      <alignment/>
    </xf>
    <xf numFmtId="10" fontId="50" fillId="36" borderId="3" xfId="0" applyNumberFormat="1" applyFont="1" applyFill="1" applyBorder="1" applyAlignment="1">
      <alignment/>
    </xf>
    <xf numFmtId="10" fontId="9" fillId="36" borderId="3" xfId="0" applyNumberFormat="1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0" fillId="0" borderId="3" xfId="0" applyFont="1" applyBorder="1" applyAlignment="1">
      <alignment/>
    </xf>
    <xf numFmtId="0" fontId="9" fillId="36" borderId="3" xfId="0" applyFont="1" applyFill="1" applyBorder="1" applyAlignment="1">
      <alignment/>
    </xf>
    <xf numFmtId="195" fontId="9" fillId="36" borderId="3" xfId="0" applyNumberFormat="1" applyFont="1" applyFill="1" applyBorder="1" applyAlignment="1">
      <alignment/>
    </xf>
    <xf numFmtId="0" fontId="17" fillId="0" borderId="58" xfId="0" applyFont="1" applyFill="1" applyBorder="1" applyAlignment="1">
      <alignment/>
    </xf>
    <xf numFmtId="2" fontId="9" fillId="36" borderId="14" xfId="0" applyNumberFormat="1" applyFont="1" applyFill="1" applyBorder="1" applyAlignment="1">
      <alignment/>
    </xf>
    <xf numFmtId="2" fontId="0" fillId="36" borderId="43" xfId="82" applyNumberFormat="1" applyFont="1" applyFill="1" applyBorder="1" applyAlignment="1">
      <alignment horizontal="center"/>
      <protection/>
    </xf>
    <xf numFmtId="2" fontId="9" fillId="36" borderId="0" xfId="0" applyNumberFormat="1" applyFont="1" applyFill="1" applyBorder="1" applyAlignment="1">
      <alignment horizontal="center"/>
    </xf>
    <xf numFmtId="2" fontId="9" fillId="36" borderId="56" xfId="0" applyNumberFormat="1" applyFont="1" applyFill="1" applyBorder="1" applyAlignment="1">
      <alignment horizontal="center"/>
    </xf>
    <xf numFmtId="4" fontId="0" fillId="0" borderId="0" xfId="75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94" fontId="9" fillId="36" borderId="0" xfId="0" applyNumberFormat="1" applyFont="1" applyFill="1" applyBorder="1" applyAlignment="1">
      <alignment/>
    </xf>
    <xf numFmtId="194" fontId="9" fillId="36" borderId="56" xfId="0" applyNumberFormat="1" applyFont="1" applyFill="1" applyBorder="1" applyAlignment="1">
      <alignment/>
    </xf>
    <xf numFmtId="194" fontId="0" fillId="0" borderId="0" xfId="79" applyNumberFormat="1" applyFont="1" applyFill="1" applyBorder="1" applyAlignment="1">
      <alignment horizontal="right"/>
      <protection/>
    </xf>
    <xf numFmtId="194" fontId="9" fillId="36" borderId="43" xfId="0" applyNumberFormat="1" applyFont="1" applyFill="1" applyBorder="1" applyAlignment="1">
      <alignment/>
    </xf>
    <xf numFmtId="194" fontId="9" fillId="36" borderId="57" xfId="0" applyNumberFormat="1" applyFont="1" applyFill="1" applyBorder="1" applyAlignment="1">
      <alignment/>
    </xf>
    <xf numFmtId="0" fontId="17" fillId="0" borderId="77" xfId="0" applyFont="1" applyBorder="1" applyAlignment="1">
      <alignment horizontal="center" wrapText="1"/>
    </xf>
    <xf numFmtId="0" fontId="17" fillId="0" borderId="15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2" fontId="0" fillId="36" borderId="20" xfId="85" applyNumberFormat="1" applyFont="1" applyFill="1" applyBorder="1" applyAlignment="1">
      <alignment horizontal="center"/>
    </xf>
    <xf numFmtId="2" fontId="0" fillId="36" borderId="14" xfId="85" applyNumberFormat="1" applyFont="1" applyFill="1" applyBorder="1" applyAlignment="1">
      <alignment horizontal="center"/>
    </xf>
    <xf numFmtId="2" fontId="0" fillId="36" borderId="12" xfId="8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14" fontId="33" fillId="0" borderId="0" xfId="0" applyNumberFormat="1" applyFont="1" applyAlignment="1" applyProtection="1">
      <alignment horizontal="center"/>
      <protection/>
    </xf>
    <xf numFmtId="0" fontId="6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12" fillId="10" borderId="0" xfId="0" applyFont="1" applyFill="1" applyAlignment="1">
      <alignment/>
    </xf>
    <xf numFmtId="14" fontId="16" fillId="10" borderId="22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14" fontId="16" fillId="32" borderId="22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12" fillId="34" borderId="17" xfId="0" applyFont="1" applyFill="1" applyBorder="1" applyAlignment="1">
      <alignment horizontal="left"/>
    </xf>
    <xf numFmtId="0" fontId="9" fillId="0" borderId="58" xfId="0" applyFont="1" applyBorder="1" applyAlignment="1">
      <alignment horizontal="centerContinuous"/>
    </xf>
    <xf numFmtId="0" fontId="0" fillId="0" borderId="0" xfId="0" applyAlignment="1">
      <alignment wrapText="1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4" fontId="72" fillId="0" borderId="4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75" fillId="0" borderId="0" xfId="0" applyFont="1" applyAlignment="1">
      <alignment horizontal="right"/>
    </xf>
    <xf numFmtId="0" fontId="42" fillId="0" borderId="0" xfId="0" applyFont="1" applyAlignment="1" applyProtection="1">
      <alignment/>
      <protection/>
    </xf>
    <xf numFmtId="2" fontId="15" fillId="0" borderId="16" xfId="0" applyNumberFormat="1" applyFont="1" applyBorder="1" applyAlignment="1">
      <alignment/>
    </xf>
    <xf numFmtId="2" fontId="84" fillId="0" borderId="11" xfId="88" applyNumberFormat="1" applyFont="1" applyFill="1" applyBorder="1">
      <alignment/>
      <protection/>
    </xf>
    <xf numFmtId="2" fontId="15" fillId="0" borderId="11" xfId="88" applyNumberFormat="1" applyFont="1" applyBorder="1">
      <alignment/>
      <protection/>
    </xf>
    <xf numFmtId="10" fontId="15" fillId="0" borderId="11" xfId="88" applyNumberFormat="1" applyFont="1" applyBorder="1">
      <alignment/>
      <protection/>
    </xf>
    <xf numFmtId="190" fontId="15" fillId="0" borderId="11" xfId="58" applyFont="1" applyBorder="1">
      <alignment/>
      <protection/>
    </xf>
    <xf numFmtId="10" fontId="15" fillId="0" borderId="0" xfId="88" applyNumberFormat="1" applyFont="1" applyBorder="1">
      <alignment/>
      <protection/>
    </xf>
    <xf numFmtId="2" fontId="84" fillId="0" borderId="13" xfId="88" applyNumberFormat="1" applyFont="1" applyBorder="1">
      <alignment/>
      <protection/>
    </xf>
    <xf numFmtId="2" fontId="84" fillId="0" borderId="0" xfId="88" applyNumberFormat="1" applyFont="1" applyFill="1" applyBorder="1">
      <alignment/>
      <protection/>
    </xf>
    <xf numFmtId="2" fontId="15" fillId="0" borderId="0" xfId="88" applyNumberFormat="1" applyFont="1" applyFill="1" applyBorder="1">
      <alignment/>
      <protection/>
    </xf>
    <xf numFmtId="190" fontId="15" fillId="0" borderId="0" xfId="58" applyFont="1" applyFill="1" applyBorder="1">
      <alignment/>
      <protection/>
    </xf>
    <xf numFmtId="2" fontId="15" fillId="0" borderId="0" xfId="88" applyNumberFormat="1" applyFont="1" applyBorder="1">
      <alignment/>
      <protection/>
    </xf>
    <xf numFmtId="190" fontId="15" fillId="0" borderId="0" xfId="58" applyFont="1" applyBorder="1">
      <alignment/>
      <protection/>
    </xf>
    <xf numFmtId="0" fontId="15" fillId="0" borderId="36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190" fontId="15" fillId="0" borderId="48" xfId="58" applyNumberFormat="1" applyFont="1" applyBorder="1">
      <alignment/>
      <protection/>
    </xf>
    <xf numFmtId="190" fontId="15" fillId="0" borderId="43" xfId="58" applyNumberFormat="1" applyFont="1" applyBorder="1">
      <alignment/>
      <protection/>
    </xf>
    <xf numFmtId="0" fontId="15" fillId="34" borderId="40" xfId="0" applyFont="1" applyFill="1" applyBorder="1" applyAlignment="1">
      <alignment/>
    </xf>
    <xf numFmtId="2" fontId="84" fillId="0" borderId="65" xfId="88" applyNumberFormat="1" applyFont="1" applyBorder="1">
      <alignment/>
      <protection/>
    </xf>
    <xf numFmtId="10" fontId="15" fillId="0" borderId="56" xfId="88" applyNumberFormat="1" applyFont="1" applyBorder="1">
      <alignment/>
      <protection/>
    </xf>
    <xf numFmtId="15" fontId="16" fillId="0" borderId="62" xfId="0" applyNumberFormat="1" applyFont="1" applyBorder="1" applyAlignment="1">
      <alignment horizontal="right"/>
    </xf>
    <xf numFmtId="189" fontId="16" fillId="0" borderId="31" xfId="88" applyNumberFormat="1" applyFont="1" applyFill="1" applyBorder="1">
      <alignment/>
      <protection/>
    </xf>
    <xf numFmtId="0" fontId="85" fillId="0" borderId="36" xfId="0" applyFont="1" applyBorder="1" applyAlignment="1">
      <alignment horizontal="center"/>
    </xf>
    <xf numFmtId="3" fontId="15" fillId="0" borderId="36" xfId="48" applyNumberFormat="1" applyFont="1" applyBorder="1" applyAlignment="1">
      <alignment horizontal="centerContinuous"/>
      <protection/>
    </xf>
    <xf numFmtId="3" fontId="15" fillId="0" borderId="42" xfId="48" applyNumberFormat="1" applyFont="1" applyBorder="1" applyAlignment="1">
      <alignment horizontal="centerContinuous"/>
      <protection/>
    </xf>
    <xf numFmtId="0" fontId="15" fillId="0" borderId="28" xfId="88" applyFont="1" applyBorder="1">
      <alignment/>
      <protection/>
    </xf>
    <xf numFmtId="0" fontId="15" fillId="0" borderId="11" xfId="0" applyFont="1" applyBorder="1" applyAlignment="1">
      <alignment horizontal="center"/>
    </xf>
    <xf numFmtId="10" fontId="15" fillId="0" borderId="11" xfId="0" applyNumberFormat="1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6" fillId="0" borderId="46" xfId="90" applyFont="1" applyBorder="1" applyAlignment="1">
      <alignment horizontal="center"/>
      <protection/>
    </xf>
    <xf numFmtId="0" fontId="15" fillId="0" borderId="15" xfId="88" applyFont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6" fillId="34" borderId="78" xfId="90" applyFont="1" applyFill="1" applyBorder="1">
      <alignment/>
      <protection/>
    </xf>
    <xf numFmtId="0" fontId="16" fillId="34" borderId="39" xfId="90" applyFont="1" applyFill="1" applyBorder="1">
      <alignment/>
      <protection/>
    </xf>
    <xf numFmtId="2" fontId="86" fillId="0" borderId="56" xfId="88" applyNumberFormat="1" applyFont="1" applyFill="1" applyBorder="1">
      <alignment/>
      <protection/>
    </xf>
    <xf numFmtId="2" fontId="32" fillId="0" borderId="56" xfId="88" applyNumberFormat="1" applyFont="1" applyBorder="1">
      <alignment/>
      <protection/>
    </xf>
    <xf numFmtId="190" fontId="32" fillId="0" borderId="56" xfId="58" applyFont="1" applyBorder="1">
      <alignment/>
      <protection/>
    </xf>
    <xf numFmtId="10" fontId="32" fillId="0" borderId="56" xfId="88" applyNumberFormat="1" applyFont="1" applyBorder="1">
      <alignment/>
      <protection/>
    </xf>
    <xf numFmtId="190" fontId="32" fillId="0" borderId="57" xfId="58" applyNumberFormat="1" applyFont="1" applyBorder="1">
      <alignment/>
      <protection/>
    </xf>
    <xf numFmtId="194" fontId="9" fillId="0" borderId="28" xfId="0" applyNumberFormat="1" applyFont="1" applyFill="1" applyBorder="1" applyAlignment="1">
      <alignment horizontal="right"/>
    </xf>
    <xf numFmtId="194" fontId="0" fillId="0" borderId="28" xfId="79" applyNumberFormat="1" applyFont="1" applyFill="1" applyBorder="1" applyAlignment="1">
      <alignment horizontal="right"/>
      <protection/>
    </xf>
    <xf numFmtId="4" fontId="19" fillId="0" borderId="42" xfId="82" applyNumberFormat="1" applyFont="1" applyFill="1" applyBorder="1" applyAlignment="1">
      <alignment horizontal="center"/>
      <protection/>
    </xf>
    <xf numFmtId="4" fontId="19" fillId="0" borderId="49" xfId="82" applyNumberFormat="1" applyFont="1" applyFill="1" applyBorder="1" applyAlignment="1">
      <alignment horizontal="center"/>
      <protection/>
    </xf>
    <xf numFmtId="4" fontId="19" fillId="32" borderId="49" xfId="82" applyNumberFormat="1" applyFont="1" applyFill="1" applyBorder="1" applyAlignment="1">
      <alignment horizontal="center"/>
      <protection/>
    </xf>
    <xf numFmtId="0" fontId="35" fillId="0" borderId="75" xfId="82" applyBorder="1">
      <alignment/>
      <protection/>
    </xf>
    <xf numFmtId="0" fontId="19" fillId="32" borderId="49" xfId="82" applyFont="1" applyFill="1" applyBorder="1" applyAlignment="1" quotePrefix="1">
      <alignment horizontal="center"/>
      <protection/>
    </xf>
    <xf numFmtId="1" fontId="19" fillId="0" borderId="43" xfId="82" applyNumberFormat="1" applyFont="1" applyFill="1" applyBorder="1" applyAlignment="1">
      <alignment horizontal="center" vertical="center"/>
      <protection/>
    </xf>
    <xf numFmtId="190" fontId="19" fillId="36" borderId="43" xfId="82" applyNumberFormat="1" applyFont="1" applyFill="1" applyBorder="1" applyAlignment="1">
      <alignment horizontal="center" vertical="center"/>
      <protection/>
    </xf>
    <xf numFmtId="3" fontId="6" fillId="0" borderId="40" xfId="82" applyNumberFormat="1" applyFont="1" applyBorder="1" applyAlignment="1">
      <alignment horizontal="center"/>
      <protection/>
    </xf>
    <xf numFmtId="1" fontId="19" fillId="0" borderId="57" xfId="82" applyNumberFormat="1" applyFont="1" applyFill="1" applyBorder="1" applyAlignment="1">
      <alignment horizontal="center" vertical="center"/>
      <protection/>
    </xf>
    <xf numFmtId="0" fontId="0" fillId="0" borderId="65" xfId="82" applyFont="1" applyBorder="1" applyAlignment="1">
      <alignment horizontal="center"/>
      <protection/>
    </xf>
    <xf numFmtId="2" fontId="0" fillId="36" borderId="57" xfId="82" applyNumberFormat="1" applyFont="1" applyFill="1" applyBorder="1" applyAlignment="1">
      <alignment horizontal="center"/>
      <protection/>
    </xf>
    <xf numFmtId="0" fontId="9" fillId="35" borderId="15" xfId="0" applyFont="1" applyFill="1" applyBorder="1" applyAlignment="1">
      <alignment/>
    </xf>
    <xf numFmtId="0" fontId="50" fillId="35" borderId="46" xfId="0" applyFont="1" applyFill="1" applyBorder="1" applyAlignment="1">
      <alignment horizontal="left"/>
    </xf>
    <xf numFmtId="0" fontId="50" fillId="0" borderId="56" xfId="0" applyFont="1" applyBorder="1" applyAlignment="1">
      <alignment/>
    </xf>
    <xf numFmtId="0" fontId="85" fillId="0" borderId="18" xfId="0" applyFont="1" applyBorder="1" applyAlignment="1">
      <alignment horizontal="center"/>
    </xf>
    <xf numFmtId="0" fontId="0" fillId="0" borderId="0" xfId="77" applyFont="1" applyFill="1" applyBorder="1" applyAlignment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17" xfId="8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4" xfId="75" applyFont="1" applyFill="1" applyBorder="1" applyAlignment="1">
      <alignment horizontal="left"/>
      <protection/>
    </xf>
    <xf numFmtId="204" fontId="0" fillId="0" borderId="0" xfId="75" applyNumberFormat="1" applyFont="1" applyFill="1" applyBorder="1" applyAlignment="1">
      <alignment/>
      <protection/>
    </xf>
    <xf numFmtId="204" fontId="0" fillId="0" borderId="14" xfId="75" applyNumberFormat="1" applyFont="1" applyFill="1" applyBorder="1" applyAlignment="1">
      <alignment/>
      <protection/>
    </xf>
    <xf numFmtId="0" fontId="0" fillId="0" borderId="17" xfId="77" applyFont="1" applyFill="1" applyBorder="1" applyAlignment="1">
      <alignment horizontal="left"/>
      <protection/>
    </xf>
    <xf numFmtId="0" fontId="0" fillId="0" borderId="12" xfId="75" applyFont="1" applyFill="1" applyBorder="1" applyAlignment="1">
      <alignment horizontal="left"/>
      <protection/>
    </xf>
    <xf numFmtId="204" fontId="0" fillId="0" borderId="15" xfId="75" applyNumberFormat="1" applyFont="1" applyFill="1" applyBorder="1" applyAlignment="1">
      <alignment/>
      <protection/>
    </xf>
    <xf numFmtId="204" fontId="0" fillId="0" borderId="12" xfId="75" applyNumberFormat="1" applyFont="1" applyFill="1" applyBorder="1" applyAlignment="1">
      <alignment/>
      <protection/>
    </xf>
    <xf numFmtId="0" fontId="18" fillId="32" borderId="18" xfId="78" applyFont="1" applyFill="1" applyBorder="1" applyAlignment="1">
      <alignment horizontal="centerContinuous"/>
      <protection/>
    </xf>
    <xf numFmtId="0" fontId="18" fillId="32" borderId="58" xfId="78" applyFont="1" applyFill="1" applyBorder="1" applyAlignment="1">
      <alignment horizontal="centerContinuous"/>
      <protection/>
    </xf>
    <xf numFmtId="0" fontId="18" fillId="32" borderId="41" xfId="78" applyFont="1" applyFill="1" applyBorder="1" applyAlignment="1">
      <alignment horizontal="center"/>
      <protection/>
    </xf>
    <xf numFmtId="0" fontId="35" fillId="0" borderId="16" xfId="78" applyFont="1" applyFill="1" applyBorder="1">
      <alignment/>
      <protection/>
    </xf>
    <xf numFmtId="0" fontId="35" fillId="0" borderId="11" xfId="78" applyFont="1" applyFill="1" applyBorder="1">
      <alignment/>
      <protection/>
    </xf>
    <xf numFmtId="12" fontId="35" fillId="0" borderId="11" xfId="78" applyNumberFormat="1" applyFont="1" applyBorder="1" applyAlignment="1">
      <alignment horizontal="left"/>
      <protection/>
    </xf>
    <xf numFmtId="0" fontId="35" fillId="0" borderId="11" xfId="78" applyFont="1" applyBorder="1">
      <alignment/>
      <protection/>
    </xf>
    <xf numFmtId="0" fontId="72" fillId="0" borderId="16" xfId="78" applyFont="1" applyFill="1" applyBorder="1">
      <alignment/>
      <protection/>
    </xf>
    <xf numFmtId="0" fontId="0" fillId="0" borderId="11" xfId="78" applyFont="1" applyFill="1" applyBorder="1">
      <alignment/>
      <protection/>
    </xf>
    <xf numFmtId="0" fontId="0" fillId="0" borderId="11" xfId="78" applyFont="1" applyBorder="1">
      <alignment/>
      <protection/>
    </xf>
    <xf numFmtId="2" fontId="0" fillId="0" borderId="11" xfId="78" applyNumberFormat="1" applyFont="1" applyFill="1" applyBorder="1">
      <alignment/>
      <protection/>
    </xf>
    <xf numFmtId="0" fontId="18" fillId="0" borderId="18" xfId="78" applyFont="1" applyFill="1" applyBorder="1">
      <alignment/>
      <protection/>
    </xf>
    <xf numFmtId="0" fontId="18" fillId="0" borderId="58" xfId="78" applyFont="1" applyFill="1" applyBorder="1">
      <alignment/>
      <protection/>
    </xf>
    <xf numFmtId="12" fontId="18" fillId="0" borderId="58" xfId="78" applyNumberFormat="1" applyFont="1" applyBorder="1" applyAlignment="1">
      <alignment horizontal="left"/>
      <protection/>
    </xf>
    <xf numFmtId="0" fontId="18" fillId="0" borderId="58" xfId="78" applyFont="1" applyBorder="1">
      <alignment/>
      <protection/>
    </xf>
    <xf numFmtId="196" fontId="18" fillId="0" borderId="41" xfId="78" applyNumberFormat="1" applyFont="1" applyFill="1" applyBorder="1" applyAlignment="1">
      <alignment/>
      <protection/>
    </xf>
    <xf numFmtId="0" fontId="35" fillId="0" borderId="13" xfId="78" applyFont="1" applyFill="1" applyBorder="1">
      <alignment/>
      <protection/>
    </xf>
    <xf numFmtId="0" fontId="35" fillId="0" borderId="0" xfId="78" applyFont="1" applyFill="1" applyBorder="1">
      <alignment/>
      <protection/>
    </xf>
    <xf numFmtId="196" fontId="35" fillId="0" borderId="3" xfId="78" applyNumberFormat="1" applyFont="1" applyFill="1" applyBorder="1" applyAlignment="1">
      <alignment/>
      <protection/>
    </xf>
    <xf numFmtId="0" fontId="35" fillId="0" borderId="0" xfId="78" applyFont="1" applyBorder="1">
      <alignment/>
      <protection/>
    </xf>
    <xf numFmtId="10" fontId="35" fillId="0" borderId="0" xfId="86" applyNumberFormat="1" applyFont="1" applyFill="1" applyBorder="1" applyAlignment="1">
      <alignment horizontal="right"/>
    </xf>
    <xf numFmtId="0" fontId="35" fillId="0" borderId="15" xfId="78" applyFont="1" applyFill="1" applyBorder="1">
      <alignment/>
      <protection/>
    </xf>
    <xf numFmtId="9" fontId="35" fillId="0" borderId="15" xfId="86" applyFont="1" applyBorder="1" applyAlignment="1">
      <alignment horizontal="right"/>
    </xf>
    <xf numFmtId="0" fontId="69" fillId="0" borderId="15" xfId="78" applyFont="1" applyBorder="1" applyAlignment="1" applyProtection="1">
      <alignment horizontal="left"/>
      <protection/>
    </xf>
    <xf numFmtId="196" fontId="35" fillId="0" borderId="23" xfId="78" applyNumberFormat="1" applyFont="1" applyFill="1" applyBorder="1" applyAlignment="1">
      <alignment/>
      <protection/>
    </xf>
    <xf numFmtId="0" fontId="18" fillId="32" borderId="18" xfId="78" applyFont="1" applyFill="1" applyBorder="1">
      <alignment/>
      <protection/>
    </xf>
    <xf numFmtId="0" fontId="18" fillId="32" borderId="58" xfId="78" applyFont="1" applyFill="1" applyBorder="1">
      <alignment/>
      <protection/>
    </xf>
    <xf numFmtId="9" fontId="35" fillId="0" borderId="0" xfId="86" applyFont="1" applyBorder="1" applyAlignment="1">
      <alignment horizontal="right"/>
    </xf>
    <xf numFmtId="0" fontId="69" fillId="0" borderId="0" xfId="78" applyFont="1" applyBorder="1" applyAlignment="1" applyProtection="1">
      <alignment horizontal="left"/>
      <protection/>
    </xf>
    <xf numFmtId="2" fontId="35" fillId="0" borderId="11" xfId="78" applyNumberFormat="1" applyFont="1" applyFill="1" applyBorder="1">
      <alignment/>
      <protection/>
    </xf>
    <xf numFmtId="2" fontId="18" fillId="0" borderId="58" xfId="78" applyNumberFormat="1" applyFont="1" applyFill="1" applyBorder="1">
      <alignment/>
      <protection/>
    </xf>
    <xf numFmtId="2" fontId="35" fillId="0" borderId="0" xfId="78" applyNumberFormat="1" applyFont="1" applyFill="1" applyBorder="1">
      <alignment/>
      <protection/>
    </xf>
    <xf numFmtId="0" fontId="35" fillId="0" borderId="15" xfId="78" applyFont="1" applyBorder="1">
      <alignment/>
      <protection/>
    </xf>
    <xf numFmtId="196" fontId="18" fillId="0" borderId="41" xfId="78" applyNumberFormat="1" applyFont="1" applyFill="1" applyBorder="1" applyAlignment="1">
      <alignment horizontal="center"/>
      <protection/>
    </xf>
    <xf numFmtId="196" fontId="0" fillId="0" borderId="22" xfId="78" applyNumberFormat="1" applyFont="1" applyFill="1" applyBorder="1" applyAlignment="1">
      <alignment/>
      <protection/>
    </xf>
    <xf numFmtId="196" fontId="18" fillId="32" borderId="41" xfId="78" applyNumberFormat="1" applyFont="1" applyFill="1" applyBorder="1" applyAlignment="1">
      <alignment/>
      <protection/>
    </xf>
    <xf numFmtId="0" fontId="0" fillId="0" borderId="11" xfId="8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1" fillId="0" borderId="41" xfId="0" applyFont="1" applyFill="1" applyBorder="1" applyAlignment="1">
      <alignment horizontal="left"/>
    </xf>
    <xf numFmtId="0" fontId="12" fillId="0" borderId="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0" xfId="0" applyBorder="1" applyAlignment="1">
      <alignment/>
    </xf>
    <xf numFmtId="203" fontId="35" fillId="0" borderId="0" xfId="0" applyNumberFormat="1" applyFont="1" applyFill="1" applyBorder="1" applyAlignment="1">
      <alignment horizontal="center"/>
    </xf>
    <xf numFmtId="196" fontId="0" fillId="0" borderId="0" xfId="0" applyNumberFormat="1" applyBorder="1" applyAlignment="1">
      <alignment/>
    </xf>
    <xf numFmtId="0" fontId="46" fillId="0" borderId="0" xfId="0" applyFont="1" applyFill="1" applyBorder="1" applyAlignment="1">
      <alignment horizontal="center"/>
    </xf>
    <xf numFmtId="196" fontId="3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>
      <alignment horizontal="right"/>
    </xf>
    <xf numFmtId="0" fontId="36" fillId="0" borderId="0" xfId="0" applyFont="1" applyAlignment="1" applyProtection="1">
      <alignment/>
      <protection/>
    </xf>
    <xf numFmtId="0" fontId="15" fillId="0" borderId="54" xfId="0" applyFont="1" applyFill="1" applyBorder="1" applyAlignment="1" applyProtection="1">
      <alignment horizontal="right" vertical="center"/>
      <protection/>
    </xf>
    <xf numFmtId="0" fontId="9" fillId="5" borderId="14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18" fillId="0" borderId="0" xfId="78" applyFont="1" applyFill="1" applyBorder="1">
      <alignment/>
      <protection/>
    </xf>
    <xf numFmtId="12" fontId="18" fillId="0" borderId="0" xfId="78" applyNumberFormat="1" applyFont="1" applyBorder="1" applyAlignment="1">
      <alignment horizontal="left"/>
      <protection/>
    </xf>
    <xf numFmtId="0" fontId="18" fillId="0" borderId="0" xfId="78" applyFont="1" applyBorder="1">
      <alignment/>
      <protection/>
    </xf>
    <xf numFmtId="2" fontId="18" fillId="0" borderId="0" xfId="78" applyNumberFormat="1" applyFont="1" applyFill="1" applyBorder="1">
      <alignment/>
      <protection/>
    </xf>
    <xf numFmtId="1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12" fillId="0" borderId="22" xfId="0" applyFont="1" applyBorder="1" applyAlignment="1">
      <alignment horizontal="left"/>
    </xf>
    <xf numFmtId="49" fontId="14" fillId="33" borderId="49" xfId="0" applyNumberFormat="1" applyFont="1" applyFill="1" applyBorder="1" applyAlignment="1">
      <alignment horizontal="center"/>
    </xf>
    <xf numFmtId="2" fontId="9" fillId="36" borderId="43" xfId="0" applyNumberFormat="1" applyFont="1" applyFill="1" applyBorder="1" applyAlignment="1">
      <alignment horizontal="center"/>
    </xf>
    <xf numFmtId="2" fontId="9" fillId="36" borderId="57" xfId="0" applyNumberFormat="1" applyFont="1" applyFill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41" fillId="0" borderId="2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196" fontId="12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196" fontId="87" fillId="0" borderId="79" xfId="0" applyNumberFormat="1" applyFont="1" applyFill="1" applyBorder="1" applyAlignment="1">
      <alignment/>
    </xf>
    <xf numFmtId="0" fontId="9" fillId="5" borderId="22" xfId="0" applyFont="1" applyFill="1" applyBorder="1" applyAlignment="1">
      <alignment/>
    </xf>
    <xf numFmtId="0" fontId="9" fillId="5" borderId="23" xfId="0" applyFont="1" applyFill="1" applyBorder="1" applyAlignment="1">
      <alignment/>
    </xf>
    <xf numFmtId="1" fontId="11" fillId="0" borderId="23" xfId="85" applyNumberFormat="1" applyFont="1" applyBorder="1" applyAlignment="1">
      <alignment horizontal="center"/>
    </xf>
    <xf numFmtId="1" fontId="11" fillId="0" borderId="12" xfId="85" applyNumberFormat="1" applyFont="1" applyBorder="1" applyAlignment="1">
      <alignment horizontal="center"/>
    </xf>
    <xf numFmtId="0" fontId="15" fillId="0" borderId="50" xfId="0" applyFont="1" applyBorder="1" applyAlignment="1" applyProtection="1">
      <alignment horizontal="left" vertical="center" wrapText="1"/>
      <protection/>
    </xf>
    <xf numFmtId="197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/>
      <protection/>
    </xf>
    <xf numFmtId="197" fontId="57" fillId="0" borderId="51" xfId="0" applyNumberFormat="1" applyFont="1" applyFill="1" applyBorder="1" applyAlignment="1" applyProtection="1">
      <alignment horizontal="right" vertical="center"/>
      <protection locked="0"/>
    </xf>
    <xf numFmtId="0" fontId="58" fillId="0" borderId="75" xfId="0" applyFont="1" applyBorder="1" applyAlignment="1" applyProtection="1">
      <alignment horizontal="left" vertical="center" wrapText="1"/>
      <protection/>
    </xf>
    <xf numFmtId="15" fontId="33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" fontId="10" fillId="36" borderId="23" xfId="0" applyNumberFormat="1" applyFont="1" applyFill="1" applyBorder="1" applyAlignment="1">
      <alignment horizontal="center"/>
    </xf>
    <xf numFmtId="0" fontId="17" fillId="0" borderId="80" xfId="0" applyFont="1" applyBorder="1" applyAlignment="1">
      <alignment horizontal="center" wrapText="1"/>
    </xf>
    <xf numFmtId="0" fontId="32" fillId="32" borderId="80" xfId="0" applyFont="1" applyFill="1" applyBorder="1" applyAlignment="1">
      <alignment horizontal="center"/>
    </xf>
    <xf numFmtId="206" fontId="9" fillId="36" borderId="66" xfId="0" applyNumberFormat="1" applyFont="1" applyFill="1" applyBorder="1" applyAlignment="1">
      <alignment/>
    </xf>
    <xf numFmtId="0" fontId="53" fillId="0" borderId="43" xfId="90" applyFont="1" applyBorder="1" applyAlignment="1">
      <alignment horizontal="center"/>
      <protection/>
    </xf>
    <xf numFmtId="0" fontId="53" fillId="0" borderId="43" xfId="90" applyFont="1" applyBorder="1" applyAlignment="1">
      <alignment horizontal="center"/>
      <protection/>
    </xf>
    <xf numFmtId="0" fontId="53" fillId="0" borderId="81" xfId="90" applyFont="1" applyBorder="1" applyAlignment="1">
      <alignment horizontal="center"/>
      <protection/>
    </xf>
    <xf numFmtId="189" fontId="9" fillId="36" borderId="69" xfId="0" applyNumberFormat="1" applyFont="1" applyFill="1" applyBorder="1" applyAlignment="1">
      <alignment/>
    </xf>
    <xf numFmtId="0" fontId="53" fillId="0" borderId="79" xfId="90" applyFont="1" applyBorder="1" applyAlignment="1">
      <alignment horizontal="center"/>
      <protection/>
    </xf>
    <xf numFmtId="0" fontId="27" fillId="32" borderId="41" xfId="0" applyFont="1" applyFill="1" applyBorder="1" applyAlignment="1">
      <alignment/>
    </xf>
    <xf numFmtId="0" fontId="27" fillId="32" borderId="19" xfId="0" applyFont="1" applyFill="1" applyBorder="1" applyAlignment="1">
      <alignment/>
    </xf>
    <xf numFmtId="0" fontId="27" fillId="32" borderId="23" xfId="0" applyFont="1" applyFill="1" applyBorder="1" applyAlignment="1">
      <alignment/>
    </xf>
    <xf numFmtId="200" fontId="18" fillId="32" borderId="19" xfId="0" applyNumberFormat="1" applyFont="1" applyFill="1" applyBorder="1" applyAlignment="1">
      <alignment/>
    </xf>
    <xf numFmtId="0" fontId="10" fillId="32" borderId="19" xfId="0" applyFont="1" applyFill="1" applyBorder="1" applyAlignment="1">
      <alignment horizontal="center" wrapText="1"/>
    </xf>
    <xf numFmtId="196" fontId="18" fillId="0" borderId="2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196" fontId="18" fillId="0" borderId="14" xfId="0" applyNumberFormat="1" applyFont="1" applyFill="1" applyBorder="1" applyAlignment="1">
      <alignment horizontal="right"/>
    </xf>
    <xf numFmtId="196" fontId="18" fillId="0" borderId="61" xfId="0" applyNumberFormat="1" applyFont="1" applyFill="1" applyBorder="1" applyAlignment="1">
      <alignment horizontal="right"/>
    </xf>
    <xf numFmtId="0" fontId="10" fillId="32" borderId="22" xfId="0" applyFont="1" applyFill="1" applyBorder="1" applyAlignment="1">
      <alignment horizontal="centerContinuous" wrapText="1"/>
    </xf>
    <xf numFmtId="0" fontId="10" fillId="32" borderId="20" xfId="0" applyFont="1" applyFill="1" applyBorder="1" applyAlignment="1">
      <alignment horizontal="centerContinuous" wrapText="1"/>
    </xf>
    <xf numFmtId="199" fontId="35" fillId="0" borderId="20" xfId="0" applyNumberFormat="1" applyFont="1" applyFill="1" applyBorder="1" applyAlignment="1">
      <alignment horizontal="right"/>
    </xf>
    <xf numFmtId="199" fontId="35" fillId="0" borderId="14" xfId="0" applyNumberFormat="1" applyFont="1" applyFill="1" applyBorder="1" applyAlignment="1">
      <alignment horizontal="right"/>
    </xf>
    <xf numFmtId="199" fontId="35" fillId="0" borderId="61" xfId="0" applyNumberFormat="1" applyFont="1" applyFill="1" applyBorder="1" applyAlignment="1">
      <alignment horizontal="right"/>
    </xf>
    <xf numFmtId="9" fontId="18" fillId="0" borderId="0" xfId="0" applyNumberFormat="1" applyFont="1" applyAlignment="1">
      <alignment/>
    </xf>
    <xf numFmtId="0" fontId="62" fillId="0" borderId="13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0" fillId="0" borderId="41" xfId="0" applyBorder="1" applyAlignment="1">
      <alignment/>
    </xf>
    <xf numFmtId="17" fontId="70" fillId="0" borderId="0" xfId="0" applyNumberFormat="1" applyFont="1" applyAlignment="1" applyProtection="1">
      <alignment/>
      <protection/>
    </xf>
    <xf numFmtId="201" fontId="9" fillId="36" borderId="3" xfId="0" applyNumberFormat="1" applyFont="1" applyFill="1" applyBorder="1" applyAlignment="1">
      <alignment/>
    </xf>
    <xf numFmtId="0" fontId="0" fillId="0" borderId="13" xfId="82" applyFont="1" applyBorder="1" applyAlignment="1">
      <alignment horizontal="left"/>
      <protection/>
    </xf>
    <xf numFmtId="0" fontId="0" fillId="0" borderId="17" xfId="82" applyFont="1" applyBorder="1" applyAlignment="1">
      <alignment horizontal="left"/>
      <protection/>
    </xf>
    <xf numFmtId="10" fontId="0" fillId="0" borderId="0" xfId="87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49" fillId="0" borderId="22" xfId="0" applyFont="1" applyBorder="1" applyAlignment="1" applyProtection="1">
      <alignment horizontal="left" wrapText="1"/>
      <protection/>
    </xf>
    <xf numFmtId="0" fontId="49" fillId="0" borderId="23" xfId="0" applyFont="1" applyBorder="1" applyAlignment="1" applyProtection="1">
      <alignment horizontal="left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/>
      <protection/>
    </xf>
    <xf numFmtId="0" fontId="131" fillId="0" borderId="15" xfId="0" applyFont="1" applyBorder="1" applyAlignment="1">
      <alignment horizontal="left"/>
    </xf>
    <xf numFmtId="0" fontId="132" fillId="0" borderId="17" xfId="0" applyFont="1" applyBorder="1" applyAlignment="1">
      <alignment horizontal="left"/>
    </xf>
    <xf numFmtId="0" fontId="0" fillId="0" borderId="14" xfId="0" applyFont="1" applyBorder="1" applyAlignment="1" applyProtection="1">
      <alignment/>
      <protection/>
    </xf>
    <xf numFmtId="0" fontId="131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33" fillId="0" borderId="13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22" xfId="0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53" fillId="0" borderId="81" xfId="90" applyFont="1" applyBorder="1" applyAlignment="1">
      <alignment horizontal="center"/>
      <protection/>
    </xf>
    <xf numFmtId="192" fontId="0" fillId="0" borderId="58" xfId="77" applyNumberFormat="1" applyFont="1" applyBorder="1" applyAlignment="1">
      <alignment horizontal="centerContinuous"/>
      <protection/>
    </xf>
    <xf numFmtId="49" fontId="0" fillId="0" borderId="23" xfId="77" applyNumberFormat="1" applyFont="1" applyBorder="1">
      <alignment/>
      <protection/>
    </xf>
    <xf numFmtId="0" fontId="0" fillId="0" borderId="15" xfId="77" applyNumberFormat="1" applyFont="1" applyBorder="1" applyAlignment="1">
      <alignment horizontal="center"/>
      <protection/>
    </xf>
    <xf numFmtId="0" fontId="0" fillId="33" borderId="15" xfId="77" applyNumberFormat="1" applyFont="1" applyFill="1" applyBorder="1" applyAlignment="1">
      <alignment horizontal="center"/>
      <protection/>
    </xf>
    <xf numFmtId="0" fontId="0" fillId="0" borderId="3" xfId="77" applyFont="1" applyBorder="1" applyAlignment="1">
      <alignment horizontal="center"/>
      <protection/>
    </xf>
    <xf numFmtId="0" fontId="0" fillId="0" borderId="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49" fontId="0" fillId="0" borderId="41" xfId="77" applyNumberFormat="1" applyFont="1" applyBorder="1">
      <alignment/>
      <protection/>
    </xf>
    <xf numFmtId="0" fontId="0" fillId="0" borderId="0" xfId="77" applyNumberFormat="1" applyFont="1" applyBorder="1" applyAlignment="1">
      <alignment horizontal="center"/>
      <protection/>
    </xf>
    <xf numFmtId="0" fontId="0" fillId="33" borderId="0" xfId="77" applyNumberFormat="1" applyFont="1" applyFill="1" applyBorder="1" applyAlignment="1">
      <alignment horizontal="center"/>
      <protection/>
    </xf>
    <xf numFmtId="0" fontId="0" fillId="0" borderId="11" xfId="77" applyNumberFormat="1" applyFont="1" applyBorder="1" applyAlignment="1">
      <alignment horizontal="center"/>
      <protection/>
    </xf>
    <xf numFmtId="0" fontId="0" fillId="0" borderId="20" xfId="77" applyNumberFormat="1" applyFont="1" applyBorder="1" applyAlignment="1">
      <alignment horizontal="center"/>
      <protection/>
    </xf>
    <xf numFmtId="0" fontId="12" fillId="37" borderId="62" xfId="0" applyFont="1" applyFill="1" applyBorder="1" applyAlignment="1">
      <alignment horizontal="left" vertical="center"/>
    </xf>
    <xf numFmtId="0" fontId="12" fillId="37" borderId="63" xfId="0" applyFont="1" applyFill="1" applyBorder="1" applyAlignment="1">
      <alignment horizontal="right" vertical="center"/>
    </xf>
    <xf numFmtId="0" fontId="12" fillId="37" borderId="63" xfId="0" applyFont="1" applyFill="1" applyBorder="1" applyAlignment="1">
      <alignment horizontal="right" vertical="center" wrapText="1"/>
    </xf>
    <xf numFmtId="0" fontId="12" fillId="37" borderId="77" xfId="0" applyFont="1" applyFill="1" applyBorder="1" applyAlignment="1">
      <alignment horizontal="right" vertical="center" wrapText="1"/>
    </xf>
    <xf numFmtId="3" fontId="12" fillId="38" borderId="28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190" fontId="0" fillId="38" borderId="0" xfId="0" applyNumberFormat="1" applyFont="1" applyFill="1" applyBorder="1" applyAlignment="1">
      <alignment wrapText="1"/>
    </xf>
    <xf numFmtId="2" fontId="0" fillId="38" borderId="43" xfId="0" applyNumberFormat="1" applyFill="1" applyBorder="1" applyAlignment="1">
      <alignment/>
    </xf>
    <xf numFmtId="3" fontId="12" fillId="39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90" fontId="0" fillId="8" borderId="0" xfId="0" applyNumberFormat="1" applyFont="1" applyFill="1" applyBorder="1" applyAlignment="1">
      <alignment wrapText="1"/>
    </xf>
    <xf numFmtId="4" fontId="0" fillId="39" borderId="43" xfId="0" applyNumberFormat="1" applyFill="1" applyBorder="1" applyAlignment="1">
      <alignment/>
    </xf>
    <xf numFmtId="4" fontId="0" fillId="38" borderId="43" xfId="0" applyNumberFormat="1" applyFill="1" applyBorder="1" applyAlignment="1">
      <alignment/>
    </xf>
    <xf numFmtId="1" fontId="0" fillId="38" borderId="0" xfId="0" applyNumberFormat="1" applyFill="1" applyBorder="1" applyAlignment="1">
      <alignment/>
    </xf>
    <xf numFmtId="3" fontId="12" fillId="38" borderId="46" xfId="0" applyNumberFormat="1" applyFont="1" applyFill="1" applyBorder="1" applyAlignment="1">
      <alignment/>
    </xf>
    <xf numFmtId="0" fontId="0" fillId="38" borderId="15" xfId="0" applyFill="1" applyBorder="1" applyAlignment="1">
      <alignment/>
    </xf>
    <xf numFmtId="4" fontId="0" fillId="38" borderId="49" xfId="0" applyNumberForma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0" fontId="0" fillId="37" borderId="83" xfId="0" applyFill="1" applyBorder="1" applyAlignment="1">
      <alignment/>
    </xf>
    <xf numFmtId="190" fontId="0" fillId="37" borderId="83" xfId="0" applyNumberFormat="1" applyFill="1" applyBorder="1" applyAlignment="1">
      <alignment wrapText="1"/>
    </xf>
    <xf numFmtId="4" fontId="12" fillId="37" borderId="8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8" fontId="12" fillId="40" borderId="0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8" fillId="0" borderId="35" xfId="72" applyFont="1" applyBorder="1">
      <alignment/>
      <protection/>
    </xf>
    <xf numFmtId="4" fontId="18" fillId="0" borderId="36" xfId="72" applyNumberFormat="1" applyFont="1" applyBorder="1">
      <alignment/>
      <protection/>
    </xf>
    <xf numFmtId="0" fontId="18" fillId="0" borderId="36" xfId="72" applyFont="1" applyBorder="1">
      <alignment/>
      <protection/>
    </xf>
    <xf numFmtId="0" fontId="18" fillId="0" borderId="42" xfId="72" applyFont="1" applyBorder="1">
      <alignment/>
      <protection/>
    </xf>
    <xf numFmtId="0" fontId="18" fillId="0" borderId="0" xfId="72" applyFont="1">
      <alignment/>
      <protection/>
    </xf>
    <xf numFmtId="0" fontId="35" fillId="0" borderId="0" xfId="72" applyFont="1">
      <alignment/>
      <protection/>
    </xf>
    <xf numFmtId="0" fontId="18" fillId="0" borderId="28" xfId="72" applyFont="1" applyBorder="1">
      <alignment/>
      <protection/>
    </xf>
    <xf numFmtId="4" fontId="18" fillId="0" borderId="0" xfId="72" applyNumberFormat="1" applyFont="1" applyBorder="1">
      <alignment/>
      <protection/>
    </xf>
    <xf numFmtId="0" fontId="18" fillId="0" borderId="0" xfId="72" applyFont="1" applyBorder="1">
      <alignment/>
      <protection/>
    </xf>
    <xf numFmtId="0" fontId="18" fillId="0" borderId="43" xfId="72" applyFont="1" applyBorder="1">
      <alignment/>
      <protection/>
    </xf>
    <xf numFmtId="0" fontId="18" fillId="0" borderId="32" xfId="72" applyFont="1" applyBorder="1">
      <alignment/>
      <protection/>
    </xf>
    <xf numFmtId="4" fontId="18" fillId="0" borderId="56" xfId="72" applyNumberFormat="1" applyFont="1" applyBorder="1">
      <alignment/>
      <protection/>
    </xf>
    <xf numFmtId="0" fontId="18" fillId="0" borderId="56" xfId="72" applyFont="1" applyBorder="1">
      <alignment/>
      <protection/>
    </xf>
    <xf numFmtId="0" fontId="18" fillId="0" borderId="57" xfId="72" applyFont="1" applyBorder="1">
      <alignment/>
      <protection/>
    </xf>
    <xf numFmtId="0" fontId="134" fillId="0" borderId="0" xfId="72" applyFont="1" applyFill="1">
      <alignment/>
      <protection/>
    </xf>
    <xf numFmtId="4" fontId="18" fillId="0" borderId="0" xfId="72" applyNumberFormat="1" applyFont="1" applyFill="1">
      <alignment/>
      <protection/>
    </xf>
    <xf numFmtId="0" fontId="18" fillId="0" borderId="0" xfId="72" applyFont="1" applyFill="1">
      <alignment/>
      <protection/>
    </xf>
    <xf numFmtId="0" fontId="35" fillId="0" borderId="0" xfId="72" applyFont="1" applyFill="1">
      <alignment/>
      <protection/>
    </xf>
    <xf numFmtId="0" fontId="35" fillId="0" borderId="0" xfId="72" applyFont="1" applyFill="1" applyBorder="1">
      <alignment/>
      <protection/>
    </xf>
    <xf numFmtId="0" fontId="12" fillId="0" borderId="0" xfId="72" applyFont="1" applyFill="1" applyBorder="1" applyAlignment="1">
      <alignment horizontal="left"/>
      <protection/>
    </xf>
    <xf numFmtId="0" fontId="12" fillId="0" borderId="0" xfId="72" applyFont="1" applyFill="1" applyBorder="1">
      <alignment/>
      <protection/>
    </xf>
    <xf numFmtId="0" fontId="18" fillId="0" borderId="0" xfId="72" applyFont="1" applyFill="1" applyBorder="1">
      <alignment/>
      <protection/>
    </xf>
    <xf numFmtId="0" fontId="90" fillId="0" borderId="0" xfId="72" applyFont="1">
      <alignment/>
      <protection/>
    </xf>
    <xf numFmtId="0" fontId="91" fillId="41" borderId="0" xfId="72" applyFont="1" applyFill="1">
      <alignment/>
      <protection/>
    </xf>
    <xf numFmtId="0" fontId="91" fillId="0" borderId="0" xfId="72" applyFont="1">
      <alignment/>
      <protection/>
    </xf>
    <xf numFmtId="0" fontId="90" fillId="0" borderId="41" xfId="72" applyFont="1" applyBorder="1">
      <alignment/>
      <protection/>
    </xf>
    <xf numFmtId="4" fontId="90" fillId="41" borderId="41" xfId="72" applyNumberFormat="1" applyFont="1" applyFill="1" applyBorder="1">
      <alignment/>
      <protection/>
    </xf>
    <xf numFmtId="4" fontId="92" fillId="0" borderId="41" xfId="72" applyNumberFormat="1" applyFont="1" applyBorder="1">
      <alignment/>
      <protection/>
    </xf>
    <xf numFmtId="0" fontId="91" fillId="0" borderId="41" xfId="72" applyFont="1" applyBorder="1">
      <alignment/>
      <protection/>
    </xf>
    <xf numFmtId="4" fontId="90" fillId="0" borderId="41" xfId="72" applyNumberFormat="1" applyFont="1" applyBorder="1">
      <alignment/>
      <protection/>
    </xf>
    <xf numFmtId="0" fontId="90" fillId="42" borderId="41" xfId="72" applyFont="1" applyFill="1" applyBorder="1">
      <alignment/>
      <protection/>
    </xf>
    <xf numFmtId="4" fontId="91" fillId="0" borderId="41" xfId="72" applyNumberFormat="1" applyFont="1" applyBorder="1">
      <alignment/>
      <protection/>
    </xf>
    <xf numFmtId="0" fontId="35" fillId="0" borderId="41" xfId="72" applyFont="1" applyBorder="1">
      <alignment/>
      <protection/>
    </xf>
    <xf numFmtId="183" fontId="35" fillId="0" borderId="41" xfId="44" applyNumberFormat="1" applyFont="1" applyBorder="1" applyAlignment="1">
      <alignment/>
    </xf>
    <xf numFmtId="2" fontId="35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/>
    </xf>
    <xf numFmtId="2" fontId="91" fillId="0" borderId="41" xfId="72" applyNumberFormat="1" applyFont="1" applyFill="1" applyBorder="1">
      <alignment/>
      <protection/>
    </xf>
    <xf numFmtId="190" fontId="91" fillId="0" borderId="41" xfId="72" applyNumberFormat="1" applyFont="1" applyBorder="1">
      <alignment/>
      <protection/>
    </xf>
    <xf numFmtId="183" fontId="91" fillId="0" borderId="41" xfId="44" applyNumberFormat="1" applyFont="1" applyBorder="1" applyAlignment="1">
      <alignment horizontal="right"/>
    </xf>
    <xf numFmtId="2" fontId="91" fillId="0" borderId="41" xfId="72" applyNumberFormat="1" applyFont="1" applyBorder="1" applyAlignment="1">
      <alignment horizontal="right"/>
      <protection/>
    </xf>
    <xf numFmtId="0" fontId="91" fillId="0" borderId="41" xfId="72" applyFont="1" applyFill="1" applyBorder="1">
      <alignment/>
      <protection/>
    </xf>
    <xf numFmtId="183" fontId="91" fillId="0" borderId="41" xfId="44" applyNumberFormat="1" applyFont="1" applyFill="1" applyBorder="1" applyAlignment="1">
      <alignment horizontal="right"/>
    </xf>
    <xf numFmtId="2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Fill="1" applyBorder="1" applyAlignment="1">
      <alignment horizontal="right"/>
      <protection/>
    </xf>
    <xf numFmtId="190" fontId="91" fillId="0" borderId="41" xfId="72" applyNumberFormat="1" applyFont="1" applyBorder="1" applyAlignment="1">
      <alignment horizontal="right"/>
      <protection/>
    </xf>
    <xf numFmtId="183" fontId="93" fillId="0" borderId="41" xfId="44" applyNumberFormat="1" applyFont="1" applyBorder="1" applyAlignment="1">
      <alignment horizontal="right"/>
    </xf>
    <xf numFmtId="2" fontId="93" fillId="0" borderId="41" xfId="72" applyNumberFormat="1" applyFont="1" applyFill="1" applyBorder="1" applyAlignment="1">
      <alignment horizontal="right"/>
      <protection/>
    </xf>
    <xf numFmtId="190" fontId="93" fillId="0" borderId="41" xfId="72" applyNumberFormat="1" applyFont="1" applyBorder="1" applyAlignment="1">
      <alignment horizontal="right"/>
      <protection/>
    </xf>
    <xf numFmtId="190" fontId="91" fillId="41" borderId="41" xfId="72" applyNumberFormat="1" applyFont="1" applyFill="1" applyBorder="1" applyAlignment="1">
      <alignment horizontal="right"/>
      <protection/>
    </xf>
    <xf numFmtId="2" fontId="91" fillId="41" borderId="41" xfId="72" applyNumberFormat="1" applyFont="1" applyFill="1" applyBorder="1" applyAlignment="1">
      <alignment horizontal="right"/>
      <protection/>
    </xf>
    <xf numFmtId="0" fontId="91" fillId="0" borderId="41" xfId="72" applyFont="1" applyBorder="1" applyAlignment="1">
      <alignment wrapText="1"/>
      <protection/>
    </xf>
    <xf numFmtId="191" fontId="91" fillId="0" borderId="41" xfId="72" applyNumberFormat="1" applyFont="1" applyFill="1" applyBorder="1" applyAlignment="1">
      <alignment horizontal="right"/>
      <protection/>
    </xf>
    <xf numFmtId="2" fontId="91" fillId="42" borderId="41" xfId="72" applyNumberFormat="1" applyFont="1" applyFill="1" applyBorder="1" applyAlignment="1">
      <alignment horizontal="right"/>
      <protection/>
    </xf>
    <xf numFmtId="190" fontId="91" fillId="42" borderId="41" xfId="72" applyNumberFormat="1" applyFont="1" applyFill="1" applyBorder="1" applyAlignment="1">
      <alignment horizontal="right"/>
      <protection/>
    </xf>
    <xf numFmtId="2" fontId="91" fillId="42" borderId="0" xfId="72" applyNumberFormat="1" applyFont="1" applyFill="1" applyBorder="1" applyAlignment="1">
      <alignment horizontal="right"/>
      <protection/>
    </xf>
    <xf numFmtId="0" fontId="91" fillId="0" borderId="0" xfId="72" applyFont="1" applyFill="1" applyBorder="1">
      <alignment/>
      <protection/>
    </xf>
    <xf numFmtId="190" fontId="91" fillId="0" borderId="0" xfId="72" applyNumberFormat="1" applyFont="1" applyFill="1" applyBorder="1" applyAlignment="1">
      <alignment horizontal="right"/>
      <protection/>
    </xf>
    <xf numFmtId="0" fontId="91" fillId="41" borderId="41" xfId="72" applyFont="1" applyFill="1" applyBorder="1">
      <alignment/>
      <protection/>
    </xf>
    <xf numFmtId="4" fontId="18" fillId="0" borderId="0" xfId="72" applyNumberFormat="1" applyFont="1">
      <alignment/>
      <protection/>
    </xf>
    <xf numFmtId="4" fontId="35" fillId="0" borderId="0" xfId="72" applyNumberFormat="1" applyFont="1">
      <alignment/>
      <protection/>
    </xf>
    <xf numFmtId="0" fontId="69" fillId="42" borderId="0" xfId="72" applyFont="1" applyFill="1">
      <alignment/>
      <protection/>
    </xf>
    <xf numFmtId="4" fontId="69" fillId="42" borderId="0" xfId="72" applyNumberFormat="1" applyFont="1" applyFill="1">
      <alignment/>
      <protection/>
    </xf>
    <xf numFmtId="2" fontId="91" fillId="0" borderId="41" xfId="72" applyNumberFormat="1" applyFont="1" applyBorder="1">
      <alignment/>
      <protection/>
    </xf>
    <xf numFmtId="14" fontId="0" fillId="0" borderId="3" xfId="0" applyNumberFormat="1" applyBorder="1" applyAlignment="1">
      <alignment horizontal="center"/>
    </xf>
    <xf numFmtId="4" fontId="90" fillId="43" borderId="0" xfId="72" applyNumberFormat="1" applyFont="1" applyFill="1">
      <alignment/>
      <protection/>
    </xf>
    <xf numFmtId="0" fontId="90" fillId="43" borderId="0" xfId="72" applyFont="1" applyFill="1">
      <alignment/>
      <protection/>
    </xf>
    <xf numFmtId="4" fontId="91" fillId="42" borderId="41" xfId="72" applyNumberFormat="1" applyFont="1" applyFill="1" applyBorder="1">
      <alignment/>
      <protection/>
    </xf>
    <xf numFmtId="0" fontId="0" fillId="0" borderId="16" xfId="76" applyFont="1" applyFill="1" applyBorder="1" applyAlignment="1">
      <alignment horizontal="center"/>
      <protection/>
    </xf>
    <xf numFmtId="4" fontId="0" fillId="44" borderId="16" xfId="77" applyNumberFormat="1" applyFont="1" applyFill="1" applyBorder="1" applyAlignment="1">
      <alignment horizontal="right"/>
      <protection/>
    </xf>
    <xf numFmtId="0" fontId="0" fillId="0" borderId="13" xfId="76" applyFont="1" applyFill="1" applyBorder="1" applyAlignment="1">
      <alignment horizontal="center"/>
      <protection/>
    </xf>
    <xf numFmtId="0" fontId="0" fillId="0" borderId="17" xfId="76" applyFont="1" applyFill="1" applyBorder="1" applyAlignment="1">
      <alignment horizontal="center"/>
      <protection/>
    </xf>
    <xf numFmtId="0" fontId="91" fillId="41" borderId="41" xfId="72" applyFont="1" applyFill="1" applyBorder="1" applyAlignment="1">
      <alignment wrapText="1"/>
      <protection/>
    </xf>
    <xf numFmtId="183" fontId="91" fillId="41" borderId="41" xfId="44" applyNumberFormat="1" applyFont="1" applyFill="1" applyBorder="1" applyAlignment="1">
      <alignment horizontal="right"/>
    </xf>
    <xf numFmtId="0" fontId="135" fillId="0" borderId="0" xfId="0" applyFont="1" applyAlignment="1">
      <alignment vertical="center" wrapText="1"/>
    </xf>
    <xf numFmtId="0" fontId="135" fillId="45" borderId="0" xfId="0" applyFont="1" applyFill="1" applyAlignment="1">
      <alignment vertical="center" wrapText="1"/>
    </xf>
    <xf numFmtId="0" fontId="135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41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0" xfId="0" applyNumberFormat="1" applyAlignment="1">
      <alignment/>
    </xf>
    <xf numFmtId="9" fontId="0" fillId="0" borderId="2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0" xfId="0" applyNumberFormat="1" applyBorder="1" applyAlignment="1">
      <alignment/>
    </xf>
    <xf numFmtId="9" fontId="0" fillId="0" borderId="2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0" fillId="0" borderId="16" xfId="72" applyNumberFormat="1" applyFont="1" applyBorder="1">
      <alignment/>
      <protection/>
    </xf>
    <xf numFmtId="0" fontId="0" fillId="0" borderId="11" xfId="72" applyFont="1" applyBorder="1">
      <alignment/>
      <protection/>
    </xf>
    <xf numFmtId="0" fontId="0" fillId="0" borderId="11" xfId="81" applyFont="1" applyFill="1" applyBorder="1" applyAlignment="1">
      <alignment horizontal="left"/>
      <protection/>
    </xf>
    <xf numFmtId="0" fontId="0" fillId="0" borderId="11" xfId="72" applyFont="1" applyFill="1" applyBorder="1" applyAlignment="1">
      <alignment/>
      <protection/>
    </xf>
    <xf numFmtId="0" fontId="0" fillId="0" borderId="20" xfId="72" applyFont="1" applyFill="1" applyBorder="1" applyAlignment="1">
      <alignment/>
      <protection/>
    </xf>
    <xf numFmtId="0" fontId="0" fillId="0" borderId="17" xfId="81" applyFont="1" applyFill="1" applyBorder="1" applyAlignment="1">
      <alignment horizontal="left"/>
      <protection/>
    </xf>
    <xf numFmtId="205" fontId="0" fillId="0" borderId="15" xfId="74" applyNumberFormat="1" applyFont="1" applyFill="1" applyBorder="1" applyAlignment="1">
      <alignment horizontal="left"/>
      <protection/>
    </xf>
    <xf numFmtId="0" fontId="0" fillId="0" borderId="15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0" xfId="75" applyFont="1" applyFill="1" applyBorder="1" applyAlignment="1">
      <alignment horizontal="left"/>
      <protection/>
    </xf>
    <xf numFmtId="4" fontId="0" fillId="0" borderId="69" xfId="0" applyNumberFormat="1" applyFont="1" applyBorder="1" applyAlignment="1">
      <alignment horizontal="right" vertical="center"/>
    </xf>
    <xf numFmtId="4" fontId="0" fillId="0" borderId="57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17" xfId="77" applyFont="1" applyFill="1" applyBorder="1" applyAlignment="1">
      <alignment horizontal="left"/>
      <protection/>
    </xf>
    <xf numFmtId="0" fontId="0" fillId="0" borderId="15" xfId="75" applyFont="1" applyFill="1" applyBorder="1" applyAlignment="1">
      <alignment horizontal="left"/>
      <protection/>
    </xf>
    <xf numFmtId="0" fontId="10" fillId="0" borderId="0" xfId="0" applyFont="1" applyBorder="1" applyAlignment="1">
      <alignment/>
    </xf>
    <xf numFmtId="14" fontId="0" fillId="46" borderId="41" xfId="80" applyNumberFormat="1" applyFont="1" applyFill="1" applyBorder="1" applyAlignment="1">
      <alignment horizontal="center"/>
      <protection/>
    </xf>
    <xf numFmtId="14" fontId="0" fillId="46" borderId="58" xfId="80" applyNumberFormat="1" applyFont="1" applyFill="1" applyBorder="1" applyAlignment="1">
      <alignment horizontal="center"/>
      <protection/>
    </xf>
    <xf numFmtId="14" fontId="0" fillId="0" borderId="41" xfId="80" applyNumberFormat="1" applyFont="1" applyFill="1" applyBorder="1" applyAlignment="1">
      <alignment horizontal="center"/>
      <protection/>
    </xf>
    <xf numFmtId="10" fontId="0" fillId="46" borderId="41" xfId="87" applyNumberFormat="1" applyFont="1" applyFill="1" applyBorder="1" applyAlignment="1">
      <alignment horizontal="center"/>
    </xf>
    <xf numFmtId="14" fontId="12" fillId="46" borderId="41" xfId="80" applyNumberFormat="1" applyFont="1" applyFill="1" applyBorder="1" applyAlignment="1">
      <alignment horizontal="center"/>
      <protection/>
    </xf>
    <xf numFmtId="14" fontId="12" fillId="46" borderId="58" xfId="80" applyNumberFormat="1" applyFont="1" applyFill="1" applyBorder="1" applyAlignment="1">
      <alignment horizontal="center"/>
      <protection/>
    </xf>
    <xf numFmtId="10" fontId="71" fillId="47" borderId="41" xfId="87" applyNumberFormat="1" applyFont="1" applyFill="1" applyBorder="1" applyAlignment="1">
      <alignment horizontal="center"/>
    </xf>
    <xf numFmtId="10" fontId="12" fillId="48" borderId="2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44" borderId="22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5" fontId="0" fillId="0" borderId="18" xfId="0" applyNumberFormat="1" applyFont="1" applyBorder="1" applyAlignment="1">
      <alignment horizontal="left"/>
    </xf>
    <xf numFmtId="190" fontId="0" fillId="44" borderId="22" xfId="0" applyNumberFormat="1" applyFill="1" applyBorder="1" applyAlignment="1">
      <alignment/>
    </xf>
    <xf numFmtId="10" fontId="0" fillId="47" borderId="3" xfId="0" applyNumberFormat="1" applyFont="1" applyFill="1" applyBorder="1" applyAlignment="1">
      <alignment horizontal="right"/>
    </xf>
    <xf numFmtId="3" fontId="0" fillId="0" borderId="16" xfId="82" applyNumberFormat="1" applyFont="1" applyBorder="1" applyAlignment="1">
      <alignment horizontal="left"/>
      <protection/>
    </xf>
    <xf numFmtId="3" fontId="0" fillId="0" borderId="13" xfId="82" applyNumberFormat="1" applyFont="1" applyBorder="1" applyAlignment="1">
      <alignment horizontal="left"/>
      <protection/>
    </xf>
    <xf numFmtId="0" fontId="0" fillId="0" borderId="16" xfId="73" applyFont="1" applyFill="1" applyBorder="1" applyAlignment="1">
      <alignment horizontal="left"/>
      <protection/>
    </xf>
    <xf numFmtId="0" fontId="0" fillId="0" borderId="13" xfId="73" applyFont="1" applyFill="1" applyBorder="1" applyAlignment="1">
      <alignment horizontal="left"/>
      <protection/>
    </xf>
    <xf numFmtId="0" fontId="0" fillId="0" borderId="16" xfId="73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left"/>
    </xf>
    <xf numFmtId="10" fontId="0" fillId="47" borderId="23" xfId="0" applyNumberFormat="1" applyFont="1" applyFill="1" applyBorder="1" applyAlignment="1">
      <alignment horizontal="right"/>
    </xf>
    <xf numFmtId="10" fontId="0" fillId="47" borderId="22" xfId="0" applyNumberFormat="1" applyFill="1" applyBorder="1" applyAlignment="1">
      <alignment/>
    </xf>
    <xf numFmtId="10" fontId="0" fillId="47" borderId="23" xfId="0" applyNumberFormat="1" applyFill="1" applyBorder="1" applyAlignment="1">
      <alignment/>
    </xf>
    <xf numFmtId="195" fontId="0" fillId="47" borderId="22" xfId="0" applyNumberFormat="1" applyFill="1" applyBorder="1" applyAlignment="1">
      <alignment/>
    </xf>
    <xf numFmtId="201" fontId="0" fillId="42" borderId="23" xfId="0" applyNumberFormat="1" applyFill="1" applyBorder="1" applyAlignment="1">
      <alignment wrapText="1"/>
    </xf>
    <xf numFmtId="10" fontId="0" fillId="47" borderId="22" xfId="85" applyFont="1" applyFill="1" applyBorder="1" applyAlignment="1">
      <alignment/>
    </xf>
    <xf numFmtId="10" fontId="0" fillId="47" borderId="3" xfId="85" applyFont="1" applyFill="1" applyBorder="1" applyAlignment="1">
      <alignment/>
    </xf>
    <xf numFmtId="10" fontId="0" fillId="47" borderId="3" xfId="85" applyNumberFormat="1" applyFont="1" applyFill="1" applyBorder="1" applyAlignment="1">
      <alignment/>
    </xf>
    <xf numFmtId="10" fontId="0" fillId="47" borderId="23" xfId="85" applyNumberFormat="1" applyFont="1" applyFill="1" applyBorder="1" applyAlignment="1">
      <alignment/>
    </xf>
    <xf numFmtId="194" fontId="0" fillId="7" borderId="3" xfId="0" applyNumberFormat="1" applyFont="1" applyFill="1" applyBorder="1" applyAlignment="1">
      <alignment horizontal="center"/>
    </xf>
    <xf numFmtId="194" fontId="0" fillId="7" borderId="1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12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14" fontId="17" fillId="41" borderId="41" xfId="72" applyNumberFormat="1" applyFont="1" applyFill="1" applyBorder="1">
      <alignment/>
      <protection/>
    </xf>
    <xf numFmtId="192" fontId="0" fillId="41" borderId="41" xfId="77" applyNumberFormat="1" applyFont="1" applyFill="1" applyBorder="1" applyAlignment="1">
      <alignment horizontal="centerContinuous"/>
      <protection/>
    </xf>
    <xf numFmtId="0" fontId="9" fillId="41" borderId="41" xfId="72" applyFont="1" applyFill="1" applyBorder="1" applyAlignment="1">
      <alignment horizontal="centerContinuous"/>
      <protection/>
    </xf>
    <xf numFmtId="49" fontId="0" fillId="41" borderId="41" xfId="77" applyNumberFormat="1" applyFont="1" applyFill="1" applyBorder="1">
      <alignment/>
      <protection/>
    </xf>
    <xf numFmtId="0" fontId="0" fillId="41" borderId="41" xfId="77" applyNumberFormat="1" applyFont="1" applyFill="1" applyBorder="1" applyAlignment="1">
      <alignment horizontal="center"/>
      <protection/>
    </xf>
    <xf numFmtId="0" fontId="0" fillId="41" borderId="41" xfId="77" applyFont="1" applyFill="1" applyBorder="1" applyAlignment="1">
      <alignment horizontal="center"/>
      <protection/>
    </xf>
    <xf numFmtId="14" fontId="0" fillId="0" borderId="20" xfId="0" applyNumberFormat="1" applyFont="1" applyFill="1" applyBorder="1" applyAlignment="1">
      <alignment/>
    </xf>
    <xf numFmtId="0" fontId="90" fillId="0" borderId="0" xfId="0" applyFont="1" applyAlignment="1">
      <alignment/>
    </xf>
    <xf numFmtId="14" fontId="17" fillId="0" borderId="22" xfId="72" applyNumberFormat="1" applyFont="1" applyBorder="1">
      <alignment/>
      <protection/>
    </xf>
    <xf numFmtId="192" fontId="0" fillId="0" borderId="11" xfId="77" applyNumberFormat="1" applyFont="1" applyBorder="1" applyAlignment="1">
      <alignment horizontal="centerContinuous"/>
      <protection/>
    </xf>
    <xf numFmtId="0" fontId="9" fillId="0" borderId="11" xfId="72" applyFont="1" applyBorder="1" applyAlignment="1">
      <alignment horizontal="center"/>
      <protection/>
    </xf>
    <xf numFmtId="0" fontId="9" fillId="0" borderId="11" xfId="72" applyFont="1" applyBorder="1" applyAlignment="1">
      <alignment horizontal="centerContinuous"/>
      <protection/>
    </xf>
    <xf numFmtId="0" fontId="9" fillId="0" borderId="20" xfId="72" applyFont="1" applyBorder="1" applyAlignment="1">
      <alignment horizontal="center"/>
      <protection/>
    </xf>
    <xf numFmtId="0" fontId="0" fillId="33" borderId="12" xfId="77" applyNumberFormat="1" applyFont="1" applyFill="1" applyBorder="1" applyAlignment="1">
      <alignment horizontal="center"/>
      <protection/>
    </xf>
    <xf numFmtId="194" fontId="0" fillId="7" borderId="22" xfId="0" applyNumberFormat="1" applyFont="1" applyFill="1" applyBorder="1" applyAlignment="1">
      <alignment horizontal="center"/>
    </xf>
    <xf numFmtId="194" fontId="0" fillId="7" borderId="16" xfId="0" applyNumberFormat="1" applyFill="1" applyBorder="1" applyAlignment="1">
      <alignment horizontal="center"/>
    </xf>
    <xf numFmtId="0" fontId="0" fillId="7" borderId="22" xfId="0" applyNumberFormat="1" applyFill="1" applyBorder="1" applyAlignment="1">
      <alignment horizontal="center"/>
    </xf>
    <xf numFmtId="190" fontId="0" fillId="7" borderId="20" xfId="0" applyNumberFormat="1" applyFill="1" applyBorder="1" applyAlignment="1">
      <alignment horizontal="center" vertical="center"/>
    </xf>
    <xf numFmtId="190" fontId="0" fillId="7" borderId="14" xfId="0" applyNumberFormat="1" applyFill="1" applyBorder="1" applyAlignment="1">
      <alignment horizontal="center" vertical="center"/>
    </xf>
    <xf numFmtId="194" fontId="0" fillId="7" borderId="3" xfId="0" applyNumberFormat="1" applyFill="1" applyBorder="1" applyAlignment="1">
      <alignment horizontal="center"/>
    </xf>
    <xf numFmtId="190" fontId="0" fillId="7" borderId="14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190" fontId="0" fillId="7" borderId="14" xfId="0" applyNumberForma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0" fillId="0" borderId="17" xfId="0" applyFont="1" applyFill="1" applyBorder="1" applyAlignment="1">
      <alignment horizontal="left"/>
    </xf>
    <xf numFmtId="14" fontId="0" fillId="41" borderId="0" xfId="0" applyNumberFormat="1" applyFill="1" applyAlignment="1">
      <alignment/>
    </xf>
    <xf numFmtId="0" fontId="12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85" xfId="0" applyFill="1" applyBorder="1" applyAlignment="1">
      <alignment/>
    </xf>
    <xf numFmtId="0" fontId="0" fillId="41" borderId="86" xfId="0" applyFill="1" applyBorder="1" applyAlignment="1">
      <alignment horizontal="center" vertical="center"/>
    </xf>
    <xf numFmtId="0" fontId="0" fillId="41" borderId="64" xfId="0" applyFill="1" applyBorder="1" applyAlignment="1">
      <alignment horizontal="center" vertical="center"/>
    </xf>
    <xf numFmtId="0" fontId="0" fillId="41" borderId="87" xfId="0" applyFill="1" applyBorder="1" applyAlignment="1">
      <alignment wrapText="1"/>
    </xf>
    <xf numFmtId="0" fontId="0" fillId="41" borderId="87" xfId="0" applyFill="1" applyBorder="1" applyAlignment="1">
      <alignment/>
    </xf>
    <xf numFmtId="3" fontId="0" fillId="41" borderId="41" xfId="0" applyNumberFormat="1" applyFill="1" applyBorder="1" applyAlignment="1">
      <alignment horizontal="center" vertical="center"/>
    </xf>
    <xf numFmtId="0" fontId="0" fillId="41" borderId="41" xfId="0" applyFill="1" applyBorder="1" applyAlignment="1">
      <alignment horizontal="center" vertical="center"/>
    </xf>
    <xf numFmtId="0" fontId="0" fillId="41" borderId="88" xfId="0" applyFill="1" applyBorder="1" applyAlignment="1">
      <alignment horizontal="center" vertical="center"/>
    </xf>
    <xf numFmtId="0" fontId="0" fillId="41" borderId="89" xfId="0" applyFill="1" applyBorder="1" applyAlignment="1">
      <alignment wrapText="1"/>
    </xf>
    <xf numFmtId="0" fontId="0" fillId="41" borderId="90" xfId="0" applyFill="1" applyBorder="1" applyAlignment="1">
      <alignment horizontal="center" vertical="center"/>
    </xf>
    <xf numFmtId="0" fontId="0" fillId="41" borderId="91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211" fontId="91" fillId="42" borderId="41" xfId="72" applyNumberFormat="1" applyFont="1" applyFill="1" applyBorder="1" applyAlignment="1">
      <alignment horizontal="right"/>
      <protection/>
    </xf>
    <xf numFmtId="0" fontId="136" fillId="0" borderId="0" xfId="0" applyFont="1" applyAlignment="1">
      <alignment vertical="center"/>
    </xf>
    <xf numFmtId="190" fontId="0" fillId="0" borderId="0" xfId="0" applyNumberFormat="1" applyAlignment="1">
      <alignment/>
    </xf>
    <xf numFmtId="190" fontId="0" fillId="0" borderId="58" xfId="0" applyNumberFormat="1" applyBorder="1" applyAlignment="1">
      <alignment wrapText="1"/>
    </xf>
    <xf numFmtId="190" fontId="0" fillId="0" borderId="11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0" xfId="0" applyNumberFormat="1" applyFill="1" applyAlignment="1">
      <alignment/>
    </xf>
    <xf numFmtId="190" fontId="0" fillId="46" borderId="41" xfId="80" applyNumberFormat="1" applyFont="1" applyFill="1" applyBorder="1" applyAlignment="1">
      <alignment horizontal="center"/>
      <protection/>
    </xf>
    <xf numFmtId="190" fontId="0" fillId="46" borderId="41" xfId="87" applyNumberFormat="1" applyFont="1" applyFill="1" applyBorder="1" applyAlignment="1">
      <alignment horizontal="center"/>
    </xf>
    <xf numFmtId="190" fontId="9" fillId="0" borderId="11" xfId="72" applyNumberFormat="1" applyFont="1" applyBorder="1" applyAlignment="1">
      <alignment horizontal="center"/>
      <protection/>
    </xf>
    <xf numFmtId="190" fontId="0" fillId="0" borderId="15" xfId="77" applyNumberFormat="1" applyFont="1" applyBorder="1" applyAlignment="1">
      <alignment horizontal="center"/>
      <protection/>
    </xf>
    <xf numFmtId="190" fontId="0" fillId="44" borderId="16" xfId="77" applyNumberFormat="1" applyFont="1" applyFill="1" applyBorder="1" applyAlignment="1">
      <alignment horizontal="right"/>
      <protection/>
    </xf>
    <xf numFmtId="190" fontId="12" fillId="0" borderId="22" xfId="0" applyNumberFormat="1" applyFont="1" applyBorder="1" applyAlignment="1">
      <alignment horizontal="center" wrapText="1"/>
    </xf>
    <xf numFmtId="190" fontId="0" fillId="0" borderId="12" xfId="0" applyNumberFormat="1" applyBorder="1" applyAlignment="1">
      <alignment horizontal="center" wrapText="1"/>
    </xf>
    <xf numFmtId="190" fontId="9" fillId="0" borderId="58" xfId="0" applyNumberFormat="1" applyFont="1" applyBorder="1" applyAlignment="1">
      <alignment horizontal="centerContinuous"/>
    </xf>
    <xf numFmtId="190" fontId="0" fillId="0" borderId="0" xfId="77" applyNumberFormat="1" applyFont="1" applyBorder="1" applyAlignment="1">
      <alignment horizontal="center"/>
      <protection/>
    </xf>
    <xf numFmtId="190" fontId="0" fillId="0" borderId="11" xfId="72" applyNumberFormat="1" applyFont="1" applyFill="1" applyBorder="1" applyAlignment="1">
      <alignment/>
      <protection/>
    </xf>
    <xf numFmtId="190" fontId="0" fillId="0" borderId="15" xfId="74" applyNumberFormat="1" applyFont="1" applyFill="1" applyBorder="1" applyAlignment="1">
      <alignment horizontal="center"/>
      <protection/>
    </xf>
    <xf numFmtId="190" fontId="0" fillId="0" borderId="57" xfId="0" applyNumberFormat="1" applyFont="1" applyBorder="1" applyAlignment="1">
      <alignment horizontal="right" vertical="center"/>
    </xf>
    <xf numFmtId="190" fontId="0" fillId="0" borderId="0" xfId="75" applyNumberFormat="1" applyFont="1" applyFill="1" applyBorder="1" applyAlignment="1">
      <alignment/>
      <protection/>
    </xf>
    <xf numFmtId="190" fontId="0" fillId="0" borderId="11" xfId="0" applyNumberFormat="1" applyFont="1" applyFill="1" applyBorder="1" applyAlignment="1">
      <alignment/>
    </xf>
    <xf numFmtId="190" fontId="0" fillId="0" borderId="15" xfId="74" applyNumberFormat="1" applyFont="1" applyFill="1" applyBorder="1" applyAlignment="1">
      <alignment horizontal="center"/>
      <protection/>
    </xf>
    <xf numFmtId="190" fontId="0" fillId="0" borderId="0" xfId="75" applyNumberFormat="1" applyFont="1" applyFill="1" applyBorder="1" applyAlignment="1">
      <alignment/>
      <protection/>
    </xf>
    <xf numFmtId="190" fontId="0" fillId="0" borderId="15" xfId="75" applyNumberFormat="1" applyFont="1" applyFill="1" applyBorder="1" applyAlignment="1">
      <alignment/>
      <protection/>
    </xf>
    <xf numFmtId="190" fontId="0" fillId="41" borderId="0" xfId="0" applyNumberFormat="1" applyFill="1" applyAlignment="1">
      <alignment/>
    </xf>
    <xf numFmtId="190" fontId="0" fillId="41" borderId="86" xfId="0" applyNumberFormat="1" applyFill="1" applyBorder="1" applyAlignment="1">
      <alignment horizontal="center" vertical="center"/>
    </xf>
    <xf numFmtId="190" fontId="0" fillId="41" borderId="41" xfId="0" applyNumberFormat="1" applyFill="1" applyBorder="1" applyAlignment="1">
      <alignment horizontal="center" vertical="center"/>
    </xf>
    <xf numFmtId="189" fontId="0" fillId="7" borderId="14" xfId="0" applyNumberFormat="1" applyFont="1" applyFill="1" applyBorder="1" applyAlignment="1">
      <alignment horizontal="center" vertical="center"/>
    </xf>
    <xf numFmtId="0" fontId="137" fillId="0" borderId="16" xfId="0" applyFont="1" applyBorder="1" applyAlignment="1" applyProtection="1">
      <alignment horizontal="left" vertical="center" wrapText="1"/>
      <protection/>
    </xf>
    <xf numFmtId="0" fontId="131" fillId="0" borderId="11" xfId="0" applyFont="1" applyBorder="1" applyAlignment="1">
      <alignment horizontal="left"/>
    </xf>
    <xf numFmtId="0" fontId="131" fillId="0" borderId="13" xfId="0" applyFont="1" applyBorder="1" applyAlignment="1">
      <alignment horizontal="left"/>
    </xf>
    <xf numFmtId="0" fontId="131" fillId="0" borderId="0" xfId="0" applyFont="1" applyBorder="1" applyAlignment="1">
      <alignment horizontal="left"/>
    </xf>
    <xf numFmtId="0" fontId="62" fillId="0" borderId="27" xfId="0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5" borderId="18" xfId="0" applyFont="1" applyFill="1" applyBorder="1" applyAlignment="1">
      <alignment wrapText="1"/>
    </xf>
    <xf numFmtId="0" fontId="25" fillId="5" borderId="19" xfId="0" applyFont="1" applyFill="1" applyBorder="1" applyAlignment="1">
      <alignment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dec0" xfId="48"/>
    <cellStyle name="dec0blank2" xfId="49"/>
    <cellStyle name="dec1" xfId="50"/>
    <cellStyle name="dec1blank2" xfId="51"/>
    <cellStyle name="dec1blank4" xfId="52"/>
    <cellStyle name="dec2" xfId="53"/>
    <cellStyle name="dec2blank2" xfId="54"/>
    <cellStyle name="dec3" xfId="55"/>
    <cellStyle name="dec3blank2" xfId="56"/>
    <cellStyle name="dec4" xfId="57"/>
    <cellStyle name="dec4_TableImpôt" xfId="58"/>
    <cellStyle name="dec5" xfId="59"/>
    <cellStyle name="dec6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budg_OctOP_P&amp;P-7" xfId="73"/>
    <cellStyle name="Normal_ea_web_grille" xfId="74"/>
    <cellStyle name="Normal_FR" xfId="75"/>
    <cellStyle name="Normal_NewAgentsSalaryGrid" xfId="76"/>
    <cellStyle name="Normal_NewCareerGrilles_ea2003" xfId="77"/>
    <cellStyle name="Normal_Old_CalcPaySummary" xfId="78"/>
    <cellStyle name="Normal_PARAMETERS" xfId="79"/>
    <cellStyle name="Normal_PresidPack2may03_v3" xfId="80"/>
    <cellStyle name="Normal_SOURCE_2" xfId="81"/>
    <cellStyle name="Normal_TravelAllowOct" xfId="82"/>
    <cellStyle name="Note" xfId="83"/>
    <cellStyle name="Output" xfId="84"/>
    <cellStyle name="Percent" xfId="85"/>
    <cellStyle name="Percent_Old_CalcPaySummary" xfId="86"/>
    <cellStyle name="Percent_PayTransitionDescription_PresPACK" xfId="87"/>
    <cellStyle name="Small" xfId="88"/>
    <cellStyle name="Title" xfId="89"/>
    <cellStyle name="TITS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31</xdr:row>
      <xdr:rowOff>0</xdr:rowOff>
    </xdr:from>
    <xdr:ext cx="76200" cy="219075"/>
    <xdr:sp fLocksText="0">
      <xdr:nvSpPr>
        <xdr:cNvPr id="1" name="Text Box 21"/>
        <xdr:cNvSpPr txBox="1">
          <a:spLocks noChangeArrowheads="1"/>
        </xdr:cNvSpPr>
      </xdr:nvSpPr>
      <xdr:spPr>
        <a:xfrm>
          <a:off x="2952750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76200</xdr:rowOff>
    </xdr:from>
    <xdr:to>
      <xdr:col>7</xdr:col>
      <xdr:colOff>0</xdr:colOff>
      <xdr:row>29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4267200" y="6029325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76200</xdr:rowOff>
    </xdr:to>
    <xdr:sp>
      <xdr:nvSpPr>
        <xdr:cNvPr id="3" name="AutoShape 23"/>
        <xdr:cNvSpPr>
          <a:spLocks/>
        </xdr:cNvSpPr>
      </xdr:nvSpPr>
      <xdr:spPr>
        <a:xfrm>
          <a:off x="4267200" y="7277100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76200" cy="219075"/>
    <xdr:sp fLocksText="0">
      <xdr:nvSpPr>
        <xdr:cNvPr id="4" name="Text Box 24"/>
        <xdr:cNvSpPr txBox="1">
          <a:spLocks noChangeArrowheads="1"/>
        </xdr:cNvSpPr>
      </xdr:nvSpPr>
      <xdr:spPr>
        <a:xfrm>
          <a:off x="2952750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19075"/>
    <xdr:sp fLocksText="0">
      <xdr:nvSpPr>
        <xdr:cNvPr id="5" name="Text Box 25"/>
        <xdr:cNvSpPr txBox="1">
          <a:spLocks noChangeArrowheads="1"/>
        </xdr:cNvSpPr>
      </xdr:nvSpPr>
      <xdr:spPr>
        <a:xfrm>
          <a:off x="3609975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76200" cy="209550"/>
    <xdr:sp fLocksText="0">
      <xdr:nvSpPr>
        <xdr:cNvPr id="6" name="Text Box 26"/>
        <xdr:cNvSpPr txBox="1">
          <a:spLocks noChangeArrowheads="1"/>
        </xdr:cNvSpPr>
      </xdr:nvSpPr>
      <xdr:spPr>
        <a:xfrm>
          <a:off x="75628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552575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8" name="Text Box 31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9" name="Text Box 32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0" name="Text Box 33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1" name="Text Box 34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2" name="Text Box 35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3" name="Text Box 36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4" name="Text Box 37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5" name="Text Box 38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6" name="Text Box 39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7" name="Text Box 40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8" name="Text Box 41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19" name="Text Box 42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76200" cy="209550"/>
    <xdr:sp fLocksText="0">
      <xdr:nvSpPr>
        <xdr:cNvPr id="20" name="Text Box 43"/>
        <xdr:cNvSpPr txBox="1">
          <a:spLocks noChangeArrowheads="1"/>
        </xdr:cNvSpPr>
      </xdr:nvSpPr>
      <xdr:spPr>
        <a:xfrm>
          <a:off x="689610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76200" cy="219075"/>
    <xdr:sp fLocksText="0">
      <xdr:nvSpPr>
        <xdr:cNvPr id="21" name="Text Box 72"/>
        <xdr:cNvSpPr txBox="1">
          <a:spLocks noChangeArrowheads="1"/>
        </xdr:cNvSpPr>
      </xdr:nvSpPr>
      <xdr:spPr>
        <a:xfrm>
          <a:off x="2952750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76200</xdr:rowOff>
    </xdr:from>
    <xdr:to>
      <xdr:col>7</xdr:col>
      <xdr:colOff>0</xdr:colOff>
      <xdr:row>29</xdr:row>
      <xdr:rowOff>142875</xdr:rowOff>
    </xdr:to>
    <xdr:sp>
      <xdr:nvSpPr>
        <xdr:cNvPr id="22" name="AutoShape 73"/>
        <xdr:cNvSpPr>
          <a:spLocks/>
        </xdr:cNvSpPr>
      </xdr:nvSpPr>
      <xdr:spPr>
        <a:xfrm>
          <a:off x="4267200" y="6029325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19050</xdr:rowOff>
    </xdr:from>
    <xdr:to>
      <xdr:col>7</xdr:col>
      <xdr:colOff>0</xdr:colOff>
      <xdr:row>36</xdr:row>
      <xdr:rowOff>76200</xdr:rowOff>
    </xdr:to>
    <xdr:sp>
      <xdr:nvSpPr>
        <xdr:cNvPr id="23" name="AutoShape 74"/>
        <xdr:cNvSpPr>
          <a:spLocks/>
        </xdr:cNvSpPr>
      </xdr:nvSpPr>
      <xdr:spPr>
        <a:xfrm>
          <a:off x="4267200" y="7277100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31</xdr:row>
      <xdr:rowOff>0</xdr:rowOff>
    </xdr:from>
    <xdr:ext cx="76200" cy="219075"/>
    <xdr:sp fLocksText="0">
      <xdr:nvSpPr>
        <xdr:cNvPr id="24" name="Text Box 75"/>
        <xdr:cNvSpPr txBox="1">
          <a:spLocks noChangeArrowheads="1"/>
        </xdr:cNvSpPr>
      </xdr:nvSpPr>
      <xdr:spPr>
        <a:xfrm>
          <a:off x="2952750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19075"/>
    <xdr:sp fLocksText="0">
      <xdr:nvSpPr>
        <xdr:cNvPr id="25" name="Text Box 76"/>
        <xdr:cNvSpPr txBox="1">
          <a:spLocks noChangeArrowheads="1"/>
        </xdr:cNvSpPr>
      </xdr:nvSpPr>
      <xdr:spPr>
        <a:xfrm>
          <a:off x="3609975" y="632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219075"/>
    <xdr:sp fLocksText="0">
      <xdr:nvSpPr>
        <xdr:cNvPr id="26" name="Text Box 77"/>
        <xdr:cNvSpPr txBox="1">
          <a:spLocks noChangeArrowheads="1"/>
        </xdr:cNvSpPr>
      </xdr:nvSpPr>
      <xdr:spPr>
        <a:xfrm>
          <a:off x="6896100" y="51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0</xdr:rowOff>
    </xdr:from>
    <xdr:ext cx="76200" cy="219075"/>
    <xdr:sp fLocksText="0">
      <xdr:nvSpPr>
        <xdr:cNvPr id="27" name="Text Box 78"/>
        <xdr:cNvSpPr txBox="1">
          <a:spLocks noChangeArrowheads="1"/>
        </xdr:cNvSpPr>
      </xdr:nvSpPr>
      <xdr:spPr>
        <a:xfrm>
          <a:off x="7562850" y="557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28600"/>
    <xdr:sp fLocksText="0">
      <xdr:nvSpPr>
        <xdr:cNvPr id="28" name="Text Box 124"/>
        <xdr:cNvSpPr txBox="1">
          <a:spLocks noChangeArrowheads="1"/>
        </xdr:cNvSpPr>
      </xdr:nvSpPr>
      <xdr:spPr>
        <a:xfrm>
          <a:off x="8934450" y="8172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29" name="Text Box 125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0" name="Text Box 126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1" name="Text Box 127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2" name="Text Box 128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28600"/>
    <xdr:sp fLocksText="0">
      <xdr:nvSpPr>
        <xdr:cNvPr id="33" name="Text Box 129"/>
        <xdr:cNvSpPr txBox="1">
          <a:spLocks noChangeArrowheads="1"/>
        </xdr:cNvSpPr>
      </xdr:nvSpPr>
      <xdr:spPr>
        <a:xfrm>
          <a:off x="8934450" y="9896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4" name="Text Box 130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5" name="Text Box 131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6" name="Text Box 132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7" name="Text Box 133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8" name="Text Box 134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39" name="Text Box 135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40" name="Text Box 136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41" name="Text Box 137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42" name="Text Box 138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43" name="Text Box 139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44" name="Text Box 140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45" name="Text Box 141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85725" cy="228600"/>
    <xdr:sp fLocksText="0">
      <xdr:nvSpPr>
        <xdr:cNvPr id="46" name="Text Box 142"/>
        <xdr:cNvSpPr txBox="1">
          <a:spLocks noChangeArrowheads="1"/>
        </xdr:cNvSpPr>
      </xdr:nvSpPr>
      <xdr:spPr>
        <a:xfrm>
          <a:off x="9858375" y="9896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47" name="Text Box 143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48" name="Text Box 144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49" name="Text Box 145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50" name="Text Box 146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51" name="Text Box 147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52" name="Text Box 148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53" name="Text Box 149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85725" cy="228600"/>
    <xdr:sp fLocksText="0">
      <xdr:nvSpPr>
        <xdr:cNvPr id="54" name="Text Box 150"/>
        <xdr:cNvSpPr txBox="1">
          <a:spLocks noChangeArrowheads="1"/>
        </xdr:cNvSpPr>
      </xdr:nvSpPr>
      <xdr:spPr>
        <a:xfrm>
          <a:off x="9858375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85725" cy="228600"/>
    <xdr:sp fLocksText="0">
      <xdr:nvSpPr>
        <xdr:cNvPr id="55" name="Text Box 151"/>
        <xdr:cNvSpPr txBox="1">
          <a:spLocks noChangeArrowheads="1"/>
        </xdr:cNvSpPr>
      </xdr:nvSpPr>
      <xdr:spPr>
        <a:xfrm>
          <a:off x="8934450" y="8172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56" name="Text Box 152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57" name="Text Box 153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58" name="Text Box 154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59" name="Text Box 155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85725" cy="228600"/>
    <xdr:sp fLocksText="0">
      <xdr:nvSpPr>
        <xdr:cNvPr id="60" name="Text Box 156"/>
        <xdr:cNvSpPr txBox="1">
          <a:spLocks noChangeArrowheads="1"/>
        </xdr:cNvSpPr>
      </xdr:nvSpPr>
      <xdr:spPr>
        <a:xfrm>
          <a:off x="8934450" y="9896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1" name="Text Box 157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2" name="Text Box 158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3" name="Text Box 159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4" name="Text Box 160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5" name="Text Box 161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6" name="Text Box 162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7" name="Text Box 163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85725" cy="228600"/>
    <xdr:sp fLocksText="0">
      <xdr:nvSpPr>
        <xdr:cNvPr id="68" name="Text Box 164"/>
        <xdr:cNvSpPr txBox="1">
          <a:spLocks noChangeArrowheads="1"/>
        </xdr:cNvSpPr>
      </xdr:nvSpPr>
      <xdr:spPr>
        <a:xfrm>
          <a:off x="8934450" y="9477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219075"/>
    <xdr:sp fLocksText="0">
      <xdr:nvSpPr>
        <xdr:cNvPr id="69" name="Text Box 77"/>
        <xdr:cNvSpPr txBox="1">
          <a:spLocks noChangeArrowheads="1"/>
        </xdr:cNvSpPr>
      </xdr:nvSpPr>
      <xdr:spPr>
        <a:xfrm>
          <a:off x="6896100" y="538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76200" cy="219075"/>
    <xdr:sp fLocksText="0">
      <xdr:nvSpPr>
        <xdr:cNvPr id="70" name="Text Box 78"/>
        <xdr:cNvSpPr txBox="1">
          <a:spLocks noChangeArrowheads="1"/>
        </xdr:cNvSpPr>
      </xdr:nvSpPr>
      <xdr:spPr>
        <a:xfrm>
          <a:off x="7562850" y="5762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3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6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7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8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9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37</xdr:row>
      <xdr:rowOff>57150</xdr:rowOff>
    </xdr:from>
    <xdr:ext cx="95250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6238875" y="6534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247650</xdr:colOff>
      <xdr:row>37</xdr:row>
      <xdr:rowOff>66675</xdr:rowOff>
    </xdr:from>
    <xdr:ext cx="85725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6257925" y="6543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85725" cy="228600"/>
    <xdr:sp fLocksText="0">
      <xdr:nvSpPr>
        <xdr:cNvPr id="12" name="Text Box 27"/>
        <xdr:cNvSpPr txBox="1">
          <a:spLocks noChangeArrowheads="1"/>
        </xdr:cNvSpPr>
      </xdr:nvSpPr>
      <xdr:spPr>
        <a:xfrm>
          <a:off x="5267325" y="16573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13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14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15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16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17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18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19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0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21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2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3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24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5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6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27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8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29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30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31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32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33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34" name="Text Box 1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381000"/>
    <xdr:sp fLocksText="0">
      <xdr:nvSpPr>
        <xdr:cNvPr id="35" name="Text Box 2"/>
        <xdr:cNvSpPr txBox="1">
          <a:spLocks noChangeArrowheads="1"/>
        </xdr:cNvSpPr>
      </xdr:nvSpPr>
      <xdr:spPr>
        <a:xfrm>
          <a:off x="6010275" y="48577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5250" cy="381000"/>
    <xdr:sp fLocksText="0">
      <xdr:nvSpPr>
        <xdr:cNvPr id="36" name="Text Box 3"/>
        <xdr:cNvSpPr txBox="1">
          <a:spLocks noChangeArrowheads="1"/>
        </xdr:cNvSpPr>
      </xdr:nvSpPr>
      <xdr:spPr>
        <a:xfrm>
          <a:off x="7067550" y="48577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R\SHEETS\4_ADAPTATIONS\PARAMET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Inter-Units\NAP\PMO%20NAP%20SUPPORT\Calculettes\calculettes%202016\calculator_official_201507%20validit&#233;%20de%20201507%20&#224;.....%20-%20INA+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_All"/>
      <sheetName val="Param_Paie"/>
      <sheetName val="Param_Calculette"/>
      <sheetName val="CC_PPA_TCH"/>
      <sheetName val="GrilleFonct"/>
      <sheetName val="GrilleFonctOldStatut"/>
      <sheetName val="GrilleContr"/>
      <sheetName val="PreschoolAllow"/>
      <sheetName val="ChildAllowance"/>
      <sheetName val="GrilleAux"/>
      <sheetName val="ParitiesDB"/>
      <sheetName val="CoefficientsDB"/>
      <sheetName val="TChDB"/>
      <sheetName val="AmountsDB"/>
      <sheetName val="Countries"/>
      <sheetName val="FacteurGrille04"/>
    </sheetNames>
    <sheetDataSet>
      <sheetData sheetId="0">
        <row r="2">
          <cell r="B2">
            <v>38169</v>
          </cell>
        </row>
      </sheetData>
      <sheetData sheetId="4">
        <row r="7">
          <cell r="A7">
            <v>16</v>
          </cell>
          <cell r="B7">
            <v>14926.62</v>
          </cell>
          <cell r="C7">
            <v>15553.86</v>
          </cell>
          <cell r="D7">
            <v>16207.45</v>
          </cell>
          <cell r="E7">
            <v>16207.45</v>
          </cell>
          <cell r="F7">
            <v>16207.45</v>
          </cell>
          <cell r="G7">
            <v>16207.45</v>
          </cell>
        </row>
        <row r="8">
          <cell r="A8">
            <v>15</v>
          </cell>
          <cell r="B8">
            <v>13192.64</v>
          </cell>
          <cell r="C8">
            <v>13747.01</v>
          </cell>
          <cell r="D8">
            <v>14324.68</v>
          </cell>
          <cell r="E8">
            <v>14723.21</v>
          </cell>
          <cell r="F8">
            <v>14926.62</v>
          </cell>
          <cell r="G8">
            <v>15553.86</v>
          </cell>
        </row>
        <row r="9">
          <cell r="A9">
            <v>14</v>
          </cell>
          <cell r="B9">
            <v>11660.09</v>
          </cell>
          <cell r="C9">
            <v>12150.06</v>
          </cell>
          <cell r="D9">
            <v>12660.62</v>
          </cell>
          <cell r="E9">
            <v>13012.86</v>
          </cell>
          <cell r="F9">
            <v>13192.64</v>
          </cell>
          <cell r="G9">
            <v>13747.01</v>
          </cell>
          <cell r="H9">
            <v>14324.68</v>
          </cell>
          <cell r="I9">
            <v>14926.62</v>
          </cell>
        </row>
        <row r="10">
          <cell r="A10">
            <v>13</v>
          </cell>
          <cell r="B10">
            <v>10305.57</v>
          </cell>
          <cell r="C10">
            <v>10738.63</v>
          </cell>
          <cell r="D10">
            <v>11189.88</v>
          </cell>
          <cell r="E10">
            <v>11501.2</v>
          </cell>
          <cell r="F10">
            <v>11660.09</v>
          </cell>
        </row>
        <row r="11">
          <cell r="A11">
            <v>12</v>
          </cell>
          <cell r="B11">
            <v>9108.4</v>
          </cell>
          <cell r="C11">
            <v>9491.15</v>
          </cell>
          <cell r="D11">
            <v>9889.98</v>
          </cell>
          <cell r="E11">
            <v>10165.14</v>
          </cell>
          <cell r="F11">
            <v>10305.57</v>
          </cell>
          <cell r="G11">
            <v>10738.63</v>
          </cell>
          <cell r="H11">
            <v>11189.88</v>
          </cell>
          <cell r="I11">
            <v>11660.09</v>
          </cell>
        </row>
        <row r="12">
          <cell r="A12">
            <v>11</v>
          </cell>
          <cell r="B12">
            <v>8050.31</v>
          </cell>
          <cell r="C12">
            <v>8388.59</v>
          </cell>
          <cell r="D12">
            <v>8741.09</v>
          </cell>
          <cell r="E12">
            <v>8984.28</v>
          </cell>
          <cell r="F12">
            <v>9108.4</v>
          </cell>
          <cell r="G12">
            <v>9491.15</v>
          </cell>
          <cell r="H12">
            <v>9889.98</v>
          </cell>
          <cell r="I12">
            <v>10305.57</v>
          </cell>
        </row>
        <row r="13">
          <cell r="A13">
            <v>10</v>
          </cell>
          <cell r="B13">
            <v>7115.13</v>
          </cell>
          <cell r="C13">
            <v>7414.12</v>
          </cell>
          <cell r="D13">
            <v>7725.67</v>
          </cell>
          <cell r="E13">
            <v>7940.61</v>
          </cell>
          <cell r="F13">
            <v>8050.31</v>
          </cell>
          <cell r="G13">
            <v>8388.59</v>
          </cell>
          <cell r="H13">
            <v>8741.09</v>
          </cell>
          <cell r="I13">
            <v>9108.4</v>
          </cell>
        </row>
        <row r="14">
          <cell r="A14">
            <v>9</v>
          </cell>
          <cell r="B14">
            <v>6288.58</v>
          </cell>
          <cell r="C14">
            <v>6552.84</v>
          </cell>
          <cell r="D14">
            <v>6828.2</v>
          </cell>
          <cell r="E14">
            <v>7018.17</v>
          </cell>
          <cell r="F14">
            <v>7115.13</v>
          </cell>
        </row>
        <row r="15">
          <cell r="A15">
            <v>8</v>
          </cell>
          <cell r="B15">
            <v>5558.06</v>
          </cell>
          <cell r="C15">
            <v>5791.62</v>
          </cell>
          <cell r="D15">
            <v>6034.99</v>
          </cell>
          <cell r="E15">
            <v>6202.89</v>
          </cell>
          <cell r="F15">
            <v>6288.58</v>
          </cell>
          <cell r="G15">
            <v>6552.84</v>
          </cell>
          <cell r="H15">
            <v>6828.2</v>
          </cell>
          <cell r="I15">
            <v>7115.13</v>
          </cell>
        </row>
        <row r="16">
          <cell r="A16">
            <v>7</v>
          </cell>
          <cell r="B16">
            <v>4912.4</v>
          </cell>
          <cell r="C16">
            <v>5118.82</v>
          </cell>
          <cell r="D16">
            <v>5333.92</v>
          </cell>
          <cell r="E16">
            <v>5482.32</v>
          </cell>
          <cell r="F16">
            <v>5558.06</v>
          </cell>
          <cell r="G16">
            <v>5791.62</v>
          </cell>
          <cell r="H16">
            <v>6034.99</v>
          </cell>
          <cell r="I16">
            <v>6288.58</v>
          </cell>
        </row>
        <row r="17">
          <cell r="A17">
            <v>6</v>
          </cell>
          <cell r="B17">
            <v>4341.74</v>
          </cell>
          <cell r="C17">
            <v>4524.18</v>
          </cell>
          <cell r="D17">
            <v>4714.29</v>
          </cell>
          <cell r="E17">
            <v>4845.45</v>
          </cell>
          <cell r="F17">
            <v>4912.4</v>
          </cell>
          <cell r="G17">
            <v>5118.82</v>
          </cell>
          <cell r="H17">
            <v>5333.92</v>
          </cell>
          <cell r="I17">
            <v>5558.06</v>
          </cell>
        </row>
        <row r="18">
          <cell r="A18">
            <v>5</v>
          </cell>
          <cell r="B18">
            <v>3837.37</v>
          </cell>
          <cell r="C18">
            <v>3998.62</v>
          </cell>
          <cell r="D18">
            <v>4166.65</v>
          </cell>
          <cell r="E18">
            <v>4282.57</v>
          </cell>
          <cell r="F18">
            <v>4341.74</v>
          </cell>
          <cell r="G18">
            <v>4524.18</v>
          </cell>
          <cell r="H18">
            <v>4714.29</v>
          </cell>
          <cell r="I18">
            <v>4912.4</v>
          </cell>
        </row>
        <row r="19">
          <cell r="A19">
            <v>4</v>
          </cell>
          <cell r="B19">
            <v>3391.59</v>
          </cell>
          <cell r="C19">
            <v>3534.11</v>
          </cell>
          <cell r="D19">
            <v>3682.62</v>
          </cell>
          <cell r="E19">
            <v>3785.08</v>
          </cell>
          <cell r="F19">
            <v>3837.37</v>
          </cell>
          <cell r="G19">
            <v>3998.62</v>
          </cell>
          <cell r="H19">
            <v>4166.65</v>
          </cell>
          <cell r="I19">
            <v>4341.74</v>
          </cell>
        </row>
        <row r="20">
          <cell r="A20">
            <v>3</v>
          </cell>
          <cell r="B20">
            <v>2997.6</v>
          </cell>
          <cell r="C20">
            <v>3123.57</v>
          </cell>
          <cell r="D20">
            <v>3254.82</v>
          </cell>
          <cell r="E20">
            <v>3345.38</v>
          </cell>
          <cell r="F20">
            <v>3391.59</v>
          </cell>
          <cell r="G20">
            <v>3534.11</v>
          </cell>
          <cell r="H20">
            <v>3682.62</v>
          </cell>
          <cell r="I20">
            <v>3837.37</v>
          </cell>
        </row>
        <row r="21">
          <cell r="A21">
            <v>2</v>
          </cell>
          <cell r="B21">
            <v>2649.38</v>
          </cell>
          <cell r="C21">
            <v>2760.71</v>
          </cell>
          <cell r="D21">
            <v>2876.72</v>
          </cell>
          <cell r="E21">
            <v>2956.75</v>
          </cell>
          <cell r="F21">
            <v>2997.6</v>
          </cell>
          <cell r="G21">
            <v>3123.57</v>
          </cell>
          <cell r="H21">
            <v>3254.82</v>
          </cell>
          <cell r="I21">
            <v>3391.59</v>
          </cell>
        </row>
        <row r="22">
          <cell r="A22">
            <v>1</v>
          </cell>
          <cell r="B22">
            <v>2341.61</v>
          </cell>
          <cell r="C22">
            <v>2440.01</v>
          </cell>
          <cell r="D22">
            <v>2542.54</v>
          </cell>
          <cell r="E22">
            <v>2613.28</v>
          </cell>
          <cell r="F22">
            <v>2649.38</v>
          </cell>
        </row>
      </sheetData>
      <sheetData sheetId="13">
        <row r="2">
          <cell r="A2" t="str">
            <v>Date adaptation</v>
          </cell>
          <cell r="B2">
            <v>37073</v>
          </cell>
          <cell r="C2">
            <v>37438</v>
          </cell>
          <cell r="D2">
            <v>38108</v>
          </cell>
          <cell r="E2">
            <v>38169</v>
          </cell>
          <cell r="F2">
            <v>38534</v>
          </cell>
          <cell r="G2">
            <v>38899</v>
          </cell>
          <cell r="H2">
            <v>39264</v>
          </cell>
          <cell r="I2">
            <v>39630</v>
          </cell>
          <cell r="J2">
            <v>39995</v>
          </cell>
          <cell r="K2">
            <v>40360</v>
          </cell>
          <cell r="L2">
            <v>40725</v>
          </cell>
          <cell r="M2">
            <v>41091</v>
          </cell>
          <cell r="N2">
            <v>41456</v>
          </cell>
          <cell r="O2">
            <v>41821</v>
          </cell>
        </row>
        <row r="3">
          <cell r="A3" t="str">
            <v>Column number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A4" t="str">
            <v>Specific indicator</v>
          </cell>
          <cell r="B4">
            <v>0.006</v>
          </cell>
          <cell r="C4">
            <v>0.017</v>
          </cell>
          <cell r="D4">
            <v>0.011</v>
          </cell>
          <cell r="E4">
            <v>-0.012</v>
          </cell>
        </row>
        <row r="5">
          <cell r="A5" t="str">
            <v>International index</v>
          </cell>
          <cell r="B5">
            <v>0.031</v>
          </cell>
          <cell r="C5">
            <v>0.013</v>
          </cell>
          <cell r="D5">
            <v>0.023</v>
          </cell>
          <cell r="E5">
            <v>0.019</v>
          </cell>
        </row>
        <row r="6">
          <cell r="A6" t="str">
            <v>Adaptation</v>
          </cell>
          <cell r="B6">
            <v>0.037</v>
          </cell>
          <cell r="C6">
            <v>0.03</v>
          </cell>
          <cell r="D6">
            <v>0.034</v>
          </cell>
          <cell r="E6">
            <v>0.007</v>
          </cell>
        </row>
        <row r="7">
          <cell r="A7" t="str">
            <v>Expatriation min</v>
          </cell>
          <cell r="B7">
            <v>415.75</v>
          </cell>
          <cell r="C7">
            <v>428.22</v>
          </cell>
          <cell r="D7">
            <v>442.78</v>
          </cell>
          <cell r="E7">
            <v>445.88</v>
          </cell>
          <cell r="F7">
            <v>445.88</v>
          </cell>
          <cell r="G7">
            <v>445.88</v>
          </cell>
          <cell r="H7">
            <v>445.88</v>
          </cell>
          <cell r="I7">
            <v>445.88</v>
          </cell>
          <cell r="J7">
            <v>445.88</v>
          </cell>
          <cell r="K7">
            <v>445.88</v>
          </cell>
          <cell r="L7">
            <v>445.88</v>
          </cell>
          <cell r="M7">
            <v>445.88</v>
          </cell>
          <cell r="N7">
            <v>445.88</v>
          </cell>
          <cell r="O7">
            <v>445.88</v>
          </cell>
        </row>
        <row r="8">
          <cell r="A8" t="str">
            <v>Household allowance</v>
          </cell>
          <cell r="B8">
            <v>140.27</v>
          </cell>
          <cell r="C8">
            <v>144.48</v>
          </cell>
          <cell r="D8">
            <v>149.39</v>
          </cell>
          <cell r="E8">
            <v>150.44</v>
          </cell>
          <cell r="F8">
            <v>150.44</v>
          </cell>
          <cell r="G8">
            <v>150.44</v>
          </cell>
          <cell r="H8">
            <v>150.44</v>
          </cell>
          <cell r="I8">
            <v>150.44</v>
          </cell>
          <cell r="J8">
            <v>150.44</v>
          </cell>
          <cell r="K8">
            <v>150.44</v>
          </cell>
          <cell r="L8">
            <v>150.44</v>
          </cell>
          <cell r="M8">
            <v>150.44</v>
          </cell>
          <cell r="N8">
            <v>150.44</v>
          </cell>
          <cell r="O8">
            <v>150.44</v>
          </cell>
        </row>
        <row r="9">
          <cell r="A9" t="str">
            <v>Child allowance</v>
          </cell>
          <cell r="C9">
            <v>0</v>
          </cell>
          <cell r="D9">
            <v>326.44</v>
          </cell>
          <cell r="E9">
            <v>328.73</v>
          </cell>
          <cell r="F9">
            <v>328.73</v>
          </cell>
          <cell r="G9">
            <v>328.73</v>
          </cell>
          <cell r="H9">
            <v>328.73</v>
          </cell>
          <cell r="I9">
            <v>328.73</v>
          </cell>
          <cell r="J9">
            <v>328.73</v>
          </cell>
          <cell r="K9">
            <v>328.73</v>
          </cell>
          <cell r="L9">
            <v>328.73</v>
          </cell>
          <cell r="M9">
            <v>328.73</v>
          </cell>
          <cell r="N9">
            <v>328.73</v>
          </cell>
          <cell r="O9">
            <v>328.73</v>
          </cell>
        </row>
        <row r="10">
          <cell r="A10" t="str">
            <v>Sec allowance C1</v>
          </cell>
          <cell r="B10">
            <v>166.29</v>
          </cell>
          <cell r="C10">
            <v>171.28</v>
          </cell>
          <cell r="D10">
            <v>177.1</v>
          </cell>
          <cell r="E10">
            <v>178.34</v>
          </cell>
          <cell r="F10">
            <v>178.34</v>
          </cell>
          <cell r="G10">
            <v>178.34</v>
          </cell>
          <cell r="H10">
            <v>178.34</v>
          </cell>
          <cell r="I10">
            <v>178.34</v>
          </cell>
          <cell r="J10">
            <v>178.34</v>
          </cell>
          <cell r="K10">
            <v>178.34</v>
          </cell>
          <cell r="L10">
            <v>178.34</v>
          </cell>
          <cell r="M10">
            <v>178.34</v>
          </cell>
          <cell r="N10">
            <v>178.34</v>
          </cell>
          <cell r="O10">
            <v>178.34</v>
          </cell>
        </row>
        <row r="11">
          <cell r="A11" t="str">
            <v>Sec allowance C4</v>
          </cell>
          <cell r="B11">
            <v>108.46</v>
          </cell>
          <cell r="C11">
            <v>111.71</v>
          </cell>
          <cell r="D11">
            <v>115.51</v>
          </cell>
          <cell r="E11">
            <v>116.32</v>
          </cell>
          <cell r="F11">
            <v>116.32</v>
          </cell>
          <cell r="G11">
            <v>116.32</v>
          </cell>
          <cell r="H11">
            <v>116.32</v>
          </cell>
          <cell r="I11">
            <v>116.32</v>
          </cell>
          <cell r="J11">
            <v>116.32</v>
          </cell>
          <cell r="K11">
            <v>116.32</v>
          </cell>
          <cell r="L11">
            <v>116.32</v>
          </cell>
          <cell r="M11">
            <v>116.32</v>
          </cell>
          <cell r="N11">
            <v>116.32</v>
          </cell>
          <cell r="O11">
            <v>116.32</v>
          </cell>
        </row>
        <row r="12">
          <cell r="A12" t="str">
            <v>Tax coefficient</v>
          </cell>
          <cell r="B12">
            <v>4.538191</v>
          </cell>
          <cell r="C12">
            <v>4.674337</v>
          </cell>
          <cell r="D12">
            <v>4.833264</v>
          </cell>
          <cell r="E12">
            <v>4.867097</v>
          </cell>
          <cell r="F12">
            <v>4.867097</v>
          </cell>
          <cell r="G12">
            <v>4.867097</v>
          </cell>
          <cell r="H12">
            <v>4.867097</v>
          </cell>
          <cell r="I12">
            <v>4.867097</v>
          </cell>
          <cell r="J12">
            <v>4.867097</v>
          </cell>
          <cell r="K12">
            <v>4.867097</v>
          </cell>
          <cell r="L12">
            <v>4.867097</v>
          </cell>
          <cell r="M12">
            <v>4.867097</v>
          </cell>
          <cell r="N12">
            <v>4.867097</v>
          </cell>
          <cell r="O12">
            <v>4.867097</v>
          </cell>
        </row>
        <row r="13">
          <cell r="A13" t="str">
            <v>Preschool allowance</v>
          </cell>
          <cell r="C13">
            <v>0</v>
          </cell>
          <cell r="D13">
            <v>79.74</v>
          </cell>
          <cell r="E13">
            <v>80.3</v>
          </cell>
          <cell r="F13">
            <v>80.3</v>
          </cell>
          <cell r="G13">
            <v>80.3</v>
          </cell>
          <cell r="H13">
            <v>80.3</v>
          </cell>
          <cell r="I13">
            <v>80.3</v>
          </cell>
          <cell r="J13">
            <v>80.3</v>
          </cell>
          <cell r="K13">
            <v>80.3</v>
          </cell>
          <cell r="L13">
            <v>80.3</v>
          </cell>
          <cell r="M13">
            <v>80.3</v>
          </cell>
          <cell r="N13">
            <v>80.3</v>
          </cell>
          <cell r="O13">
            <v>80.3</v>
          </cell>
        </row>
        <row r="14">
          <cell r="A14" t="str">
            <v>School allowance</v>
          </cell>
          <cell r="B14">
            <v>207.98</v>
          </cell>
          <cell r="C14">
            <v>214.22</v>
          </cell>
          <cell r="D14">
            <v>221.5</v>
          </cell>
          <cell r="E14">
            <v>223.05</v>
          </cell>
          <cell r="F14">
            <v>223.05</v>
          </cell>
          <cell r="G14">
            <v>223.05</v>
          </cell>
          <cell r="H14">
            <v>223.05</v>
          </cell>
          <cell r="I14">
            <v>223.05</v>
          </cell>
          <cell r="J14">
            <v>223.05</v>
          </cell>
          <cell r="K14">
            <v>223.05</v>
          </cell>
          <cell r="L14">
            <v>223.05</v>
          </cell>
          <cell r="M14">
            <v>223.05</v>
          </cell>
          <cell r="N14">
            <v>223.05</v>
          </cell>
          <cell r="O14">
            <v>223.05</v>
          </cell>
        </row>
        <row r="15">
          <cell r="A15" t="str">
            <v>Flat rate overtime</v>
          </cell>
          <cell r="B15">
            <v>509.11</v>
          </cell>
          <cell r="C15">
            <v>524.38</v>
          </cell>
          <cell r="D15">
            <v>542.21</v>
          </cell>
          <cell r="E15">
            <v>546.01</v>
          </cell>
          <cell r="F15">
            <v>546.01</v>
          </cell>
          <cell r="G15">
            <v>546.01</v>
          </cell>
          <cell r="H15">
            <v>546.01</v>
          </cell>
          <cell r="I15">
            <v>546.01</v>
          </cell>
          <cell r="J15">
            <v>546.01</v>
          </cell>
          <cell r="K15">
            <v>546.01</v>
          </cell>
          <cell r="L15">
            <v>546.01</v>
          </cell>
          <cell r="M15">
            <v>546.01</v>
          </cell>
          <cell r="N15">
            <v>546.01</v>
          </cell>
          <cell r="O15">
            <v>546.01</v>
          </cell>
        </row>
        <row r="16">
          <cell r="A16" t="str">
            <v>Salary fonct max 16</v>
          </cell>
          <cell r="B16">
            <v>15112.21</v>
          </cell>
          <cell r="C16">
            <v>15565.58</v>
          </cell>
          <cell r="D16">
            <v>16094.79</v>
          </cell>
          <cell r="E16">
            <v>16207.45</v>
          </cell>
          <cell r="F16">
            <v>16207.45</v>
          </cell>
          <cell r="G16">
            <v>16207.45</v>
          </cell>
          <cell r="H16">
            <v>16207.45</v>
          </cell>
          <cell r="I16">
            <v>16207.45</v>
          </cell>
          <cell r="J16">
            <v>16207.45</v>
          </cell>
          <cell r="K16">
            <v>16207.45</v>
          </cell>
          <cell r="L16">
            <v>16207.45</v>
          </cell>
          <cell r="M16">
            <v>16207.45</v>
          </cell>
          <cell r="N16">
            <v>16207.45</v>
          </cell>
          <cell r="O16">
            <v>16207.45</v>
          </cell>
        </row>
        <row r="17">
          <cell r="A17" t="str">
            <v>Salary fonct min 1</v>
          </cell>
          <cell r="B17">
            <v>2183.37</v>
          </cell>
          <cell r="C17">
            <v>2248.87</v>
          </cell>
          <cell r="D17">
            <v>2325.33</v>
          </cell>
          <cell r="E17">
            <v>2341.61</v>
          </cell>
          <cell r="F17">
            <v>2341.61</v>
          </cell>
          <cell r="G17">
            <v>2341.61</v>
          </cell>
          <cell r="H17">
            <v>2341.61</v>
          </cell>
          <cell r="I17">
            <v>2341.61</v>
          </cell>
          <cell r="J17">
            <v>2341.61</v>
          </cell>
          <cell r="K17">
            <v>2341.61</v>
          </cell>
          <cell r="L17">
            <v>2341.61</v>
          </cell>
          <cell r="M17">
            <v>2341.61</v>
          </cell>
          <cell r="N17">
            <v>2341.61</v>
          </cell>
          <cell r="O17">
            <v>2341.61</v>
          </cell>
        </row>
        <row r="18">
          <cell r="A18" t="str">
            <v>Salary Contr Agt Max 18</v>
          </cell>
          <cell r="B18">
            <v>5428.5</v>
          </cell>
          <cell r="C18">
            <v>5591.36</v>
          </cell>
          <cell r="D18">
            <v>5781.47</v>
          </cell>
          <cell r="E18">
            <v>5821.94</v>
          </cell>
          <cell r="F18">
            <v>5821.94</v>
          </cell>
          <cell r="G18">
            <v>5821.94</v>
          </cell>
          <cell r="H18">
            <v>5821.94</v>
          </cell>
          <cell r="I18">
            <v>5821.94</v>
          </cell>
          <cell r="J18">
            <v>5821.94</v>
          </cell>
          <cell r="K18">
            <v>5821.94</v>
          </cell>
          <cell r="L18">
            <v>5821.94</v>
          </cell>
          <cell r="M18">
            <v>5821.94</v>
          </cell>
          <cell r="N18">
            <v>5821.94</v>
          </cell>
          <cell r="O18">
            <v>5821.94</v>
          </cell>
        </row>
        <row r="19">
          <cell r="A19" t="str">
            <v>Salary Contr Agt Min 13</v>
          </cell>
          <cell r="B19">
            <v>2587.5</v>
          </cell>
          <cell r="C19">
            <v>2665.13</v>
          </cell>
          <cell r="D19">
            <v>2755.74</v>
          </cell>
          <cell r="E19">
            <v>2775.03</v>
          </cell>
          <cell r="F19">
            <v>2775.03</v>
          </cell>
          <cell r="G19">
            <v>2775.03</v>
          </cell>
          <cell r="H19">
            <v>2775.03</v>
          </cell>
          <cell r="I19">
            <v>2775.03</v>
          </cell>
          <cell r="J19">
            <v>2775.03</v>
          </cell>
          <cell r="K19">
            <v>2775.03</v>
          </cell>
          <cell r="L19">
            <v>2775.03</v>
          </cell>
          <cell r="M19">
            <v>2775.03</v>
          </cell>
          <cell r="N19">
            <v>2775.03</v>
          </cell>
          <cell r="O19">
            <v>2775.03</v>
          </cell>
        </row>
        <row r="20">
          <cell r="A20" t="str">
            <v>Salary Contr Agt Max 12</v>
          </cell>
          <cell r="B20">
            <v>3747.75</v>
          </cell>
          <cell r="C20">
            <v>3860.18</v>
          </cell>
          <cell r="D20">
            <v>3991.43</v>
          </cell>
          <cell r="E20">
            <v>4019.37</v>
          </cell>
          <cell r="F20">
            <v>4019.37</v>
          </cell>
          <cell r="G20">
            <v>4019.37</v>
          </cell>
          <cell r="H20">
            <v>4019.37</v>
          </cell>
          <cell r="I20">
            <v>4019.37</v>
          </cell>
          <cell r="J20">
            <v>4019.37</v>
          </cell>
          <cell r="K20">
            <v>4019.37</v>
          </cell>
          <cell r="L20">
            <v>4019.37</v>
          </cell>
          <cell r="M20">
            <v>4019.37</v>
          </cell>
          <cell r="N20">
            <v>4019.37</v>
          </cell>
          <cell r="O20">
            <v>4019.37</v>
          </cell>
        </row>
        <row r="21">
          <cell r="A21" t="str">
            <v>Salary Contr Agt Min 8</v>
          </cell>
          <cell r="B21">
            <v>2021.25</v>
          </cell>
          <cell r="C21">
            <v>2081.89</v>
          </cell>
          <cell r="D21">
            <v>2152.67</v>
          </cell>
          <cell r="E21">
            <v>2167.74</v>
          </cell>
          <cell r="F21">
            <v>2167.74</v>
          </cell>
          <cell r="G21">
            <v>2167.74</v>
          </cell>
          <cell r="H21">
            <v>2167.74</v>
          </cell>
          <cell r="I21">
            <v>2167.74</v>
          </cell>
          <cell r="J21">
            <v>2167.74</v>
          </cell>
          <cell r="K21">
            <v>2167.74</v>
          </cell>
          <cell r="L21">
            <v>2167.74</v>
          </cell>
          <cell r="M21">
            <v>2167.74</v>
          </cell>
          <cell r="N21">
            <v>2167.74</v>
          </cell>
          <cell r="O21">
            <v>2167.74</v>
          </cell>
        </row>
        <row r="22">
          <cell r="A22" t="str">
            <v>Salary Contr Agt Max 7</v>
          </cell>
          <cell r="B22">
            <v>2587.5</v>
          </cell>
          <cell r="C22">
            <v>2665.13</v>
          </cell>
          <cell r="D22">
            <v>2755.74</v>
          </cell>
          <cell r="E22">
            <v>2775.03</v>
          </cell>
          <cell r="F22">
            <v>2775.03</v>
          </cell>
          <cell r="G22">
            <v>2775.03</v>
          </cell>
          <cell r="H22">
            <v>2775.03</v>
          </cell>
          <cell r="I22">
            <v>2775.03</v>
          </cell>
          <cell r="J22">
            <v>2775.03</v>
          </cell>
          <cell r="K22">
            <v>2775.03</v>
          </cell>
          <cell r="L22">
            <v>2775.03</v>
          </cell>
          <cell r="M22">
            <v>2775.03</v>
          </cell>
          <cell r="N22">
            <v>2775.03</v>
          </cell>
          <cell r="O22">
            <v>2775.03</v>
          </cell>
        </row>
        <row r="23">
          <cell r="A23" t="str">
            <v>Salary Contr Agt Min 4</v>
          </cell>
          <cell r="B23">
            <v>1578.75</v>
          </cell>
          <cell r="C23">
            <v>1626.11</v>
          </cell>
          <cell r="D23">
            <v>1681.4</v>
          </cell>
          <cell r="E23">
            <v>1693.17</v>
          </cell>
          <cell r="F23">
            <v>1693.17</v>
          </cell>
          <cell r="G23">
            <v>1693.17</v>
          </cell>
          <cell r="H23">
            <v>1693.17</v>
          </cell>
          <cell r="I23">
            <v>1693.17</v>
          </cell>
          <cell r="J23">
            <v>1693.17</v>
          </cell>
          <cell r="K23">
            <v>1693.17</v>
          </cell>
          <cell r="L23">
            <v>1693.17</v>
          </cell>
          <cell r="M23">
            <v>1693.17</v>
          </cell>
          <cell r="N23">
            <v>1693.17</v>
          </cell>
          <cell r="O23">
            <v>1693.17</v>
          </cell>
        </row>
        <row r="24">
          <cell r="A24" t="str">
            <v>Salary Contr Agt Max 3</v>
          </cell>
          <cell r="B24">
            <v>2200</v>
          </cell>
          <cell r="C24">
            <v>2266</v>
          </cell>
          <cell r="D24">
            <v>2343.04</v>
          </cell>
          <cell r="E24">
            <v>2359.44</v>
          </cell>
          <cell r="F24">
            <v>2359.44</v>
          </cell>
          <cell r="G24">
            <v>2359.44</v>
          </cell>
          <cell r="H24">
            <v>2359.44</v>
          </cell>
          <cell r="I24">
            <v>2359.44</v>
          </cell>
          <cell r="J24">
            <v>2359.44</v>
          </cell>
          <cell r="K24">
            <v>2359.44</v>
          </cell>
          <cell r="L24">
            <v>2359.44</v>
          </cell>
          <cell r="M24">
            <v>2359.44</v>
          </cell>
          <cell r="N24">
            <v>2359.44</v>
          </cell>
          <cell r="O24">
            <v>2359.44</v>
          </cell>
        </row>
        <row r="25">
          <cell r="A25" t="str">
            <v>Salary Contr Agt Min 1</v>
          </cell>
          <cell r="B25">
            <v>1520</v>
          </cell>
          <cell r="C25">
            <v>1565.6</v>
          </cell>
          <cell r="D25">
            <v>1618.83</v>
          </cell>
          <cell r="E25">
            <v>1630.16</v>
          </cell>
          <cell r="F25">
            <v>1630.16</v>
          </cell>
          <cell r="G25">
            <v>1630.16</v>
          </cell>
          <cell r="H25">
            <v>1630.16</v>
          </cell>
          <cell r="I25">
            <v>1630.16</v>
          </cell>
          <cell r="J25">
            <v>1630.16</v>
          </cell>
          <cell r="K25">
            <v>1630.16</v>
          </cell>
          <cell r="L25">
            <v>1630.16</v>
          </cell>
          <cell r="M25">
            <v>1630.16</v>
          </cell>
          <cell r="N25">
            <v>1630.16</v>
          </cell>
          <cell r="O25">
            <v>1630.16</v>
          </cell>
        </row>
        <row r="26">
          <cell r="A26" t="str">
            <v>Point arduous work(32 x 1/1 /100000)</v>
          </cell>
          <cell r="B26">
            <v>0.7</v>
          </cell>
          <cell r="C26">
            <v>0.72</v>
          </cell>
          <cell r="D26">
            <v>0.74</v>
          </cell>
          <cell r="E26">
            <v>0.75</v>
          </cell>
          <cell r="F26">
            <v>0.75</v>
          </cell>
          <cell r="G26">
            <v>0.75</v>
          </cell>
          <cell r="H26">
            <v>0.75</v>
          </cell>
          <cell r="I26">
            <v>0.75</v>
          </cell>
          <cell r="J26">
            <v>0.75</v>
          </cell>
          <cell r="K26">
            <v>0.75</v>
          </cell>
          <cell r="L26">
            <v>0.75</v>
          </cell>
          <cell r="M26">
            <v>0.75</v>
          </cell>
          <cell r="N26">
            <v>0.75</v>
          </cell>
          <cell r="O26">
            <v>0.75</v>
          </cell>
        </row>
        <row r="27">
          <cell r="A27" t="str">
            <v>Extra hours 1 (shift work)</v>
          </cell>
          <cell r="B27">
            <v>314.38</v>
          </cell>
          <cell r="C27">
            <v>323.81</v>
          </cell>
          <cell r="D27">
            <v>334.82</v>
          </cell>
          <cell r="E27">
            <v>337.16</v>
          </cell>
          <cell r="F27">
            <v>337.16</v>
          </cell>
          <cell r="G27">
            <v>337.16</v>
          </cell>
          <cell r="H27">
            <v>337.16</v>
          </cell>
          <cell r="I27">
            <v>337.16</v>
          </cell>
          <cell r="J27">
            <v>337.16</v>
          </cell>
          <cell r="K27">
            <v>337.16</v>
          </cell>
          <cell r="L27">
            <v>337.16</v>
          </cell>
          <cell r="M27">
            <v>337.16</v>
          </cell>
          <cell r="N27">
            <v>337.16</v>
          </cell>
          <cell r="O27">
            <v>337.16</v>
          </cell>
        </row>
        <row r="28">
          <cell r="A28" t="str">
            <v>Extra hours 2 (shift work)</v>
          </cell>
          <cell r="B28">
            <v>474.5</v>
          </cell>
          <cell r="C28">
            <v>488.74</v>
          </cell>
          <cell r="D28">
            <v>505.36</v>
          </cell>
          <cell r="E28">
            <v>508.9</v>
          </cell>
          <cell r="F28">
            <v>508.9</v>
          </cell>
          <cell r="G28">
            <v>508.9</v>
          </cell>
          <cell r="H28">
            <v>508.9</v>
          </cell>
          <cell r="I28">
            <v>508.9</v>
          </cell>
          <cell r="J28">
            <v>508.9</v>
          </cell>
          <cell r="K28">
            <v>508.9</v>
          </cell>
          <cell r="L28">
            <v>508.9</v>
          </cell>
          <cell r="M28">
            <v>508.9</v>
          </cell>
          <cell r="N28">
            <v>508.9</v>
          </cell>
          <cell r="O28">
            <v>508.9</v>
          </cell>
        </row>
        <row r="29">
          <cell r="A29" t="str">
            <v>Extra hours 3 (shift work)</v>
          </cell>
          <cell r="B29">
            <v>518.82</v>
          </cell>
          <cell r="C29">
            <v>534.38</v>
          </cell>
          <cell r="D29">
            <v>552.55</v>
          </cell>
          <cell r="E29">
            <v>556.42</v>
          </cell>
          <cell r="F29">
            <v>556.42</v>
          </cell>
          <cell r="G29">
            <v>556.42</v>
          </cell>
          <cell r="H29">
            <v>556.42</v>
          </cell>
          <cell r="I29">
            <v>556.42</v>
          </cell>
          <cell r="J29">
            <v>556.42</v>
          </cell>
          <cell r="K29">
            <v>556.42</v>
          </cell>
          <cell r="L29">
            <v>556.42</v>
          </cell>
          <cell r="M29">
            <v>556.42</v>
          </cell>
          <cell r="N29">
            <v>556.42</v>
          </cell>
          <cell r="O29">
            <v>556.42</v>
          </cell>
        </row>
        <row r="30">
          <cell r="A30" t="str">
            <v>Extra hours 4 (shift work)</v>
          </cell>
          <cell r="B30">
            <v>707.32</v>
          </cell>
          <cell r="C30">
            <v>728.54</v>
          </cell>
          <cell r="D30">
            <v>753.31</v>
          </cell>
          <cell r="E30">
            <v>758.58</v>
          </cell>
          <cell r="F30">
            <v>758.58</v>
          </cell>
          <cell r="G30">
            <v>758.58</v>
          </cell>
          <cell r="H30">
            <v>758.58</v>
          </cell>
          <cell r="I30">
            <v>758.58</v>
          </cell>
          <cell r="J30">
            <v>758.58</v>
          </cell>
          <cell r="K30">
            <v>758.58</v>
          </cell>
          <cell r="L30">
            <v>758.58</v>
          </cell>
          <cell r="M30">
            <v>758.58</v>
          </cell>
          <cell r="N30">
            <v>758.58</v>
          </cell>
          <cell r="O30">
            <v>758.58</v>
          </cell>
        </row>
        <row r="31">
          <cell r="A31" t="str">
            <v>Annual trip 0 km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Annual trip 200 km</v>
          </cell>
          <cell r="B32">
            <v>0.3117</v>
          </cell>
          <cell r="C32">
            <v>0.3211</v>
          </cell>
          <cell r="D32">
            <v>0.332</v>
          </cell>
          <cell r="E32">
            <v>0.3343</v>
          </cell>
          <cell r="F32">
            <v>0.3343</v>
          </cell>
          <cell r="G32">
            <v>0.3343</v>
          </cell>
          <cell r="H32">
            <v>0.3343</v>
          </cell>
          <cell r="I32">
            <v>0.3343</v>
          </cell>
          <cell r="J32">
            <v>0.3343</v>
          </cell>
          <cell r="K32">
            <v>0.3343</v>
          </cell>
          <cell r="L32">
            <v>0.3343</v>
          </cell>
          <cell r="M32">
            <v>0.3343</v>
          </cell>
          <cell r="N32">
            <v>0.3343</v>
          </cell>
          <cell r="O32">
            <v>0.3343</v>
          </cell>
        </row>
        <row r="33">
          <cell r="A33" t="str">
            <v>Annual trip 1000 km</v>
          </cell>
          <cell r="B33">
            <v>0.5195</v>
          </cell>
          <cell r="C33">
            <v>0.5351</v>
          </cell>
          <cell r="D33">
            <v>0.5533</v>
          </cell>
          <cell r="E33">
            <v>0.5572</v>
          </cell>
          <cell r="F33">
            <v>0.5572</v>
          </cell>
          <cell r="G33">
            <v>0.5572</v>
          </cell>
          <cell r="H33">
            <v>0.5572</v>
          </cell>
          <cell r="I33">
            <v>0.5572</v>
          </cell>
          <cell r="J33">
            <v>0.5572</v>
          </cell>
          <cell r="K33">
            <v>0.5572</v>
          </cell>
          <cell r="L33">
            <v>0.5572</v>
          </cell>
          <cell r="M33">
            <v>0.5572</v>
          </cell>
          <cell r="N33">
            <v>0.5572</v>
          </cell>
          <cell r="O33">
            <v>0.5572</v>
          </cell>
        </row>
        <row r="34">
          <cell r="A34" t="str">
            <v>Annual trip 2000 km</v>
          </cell>
          <cell r="B34">
            <v>0.3117</v>
          </cell>
          <cell r="C34">
            <v>0.3211</v>
          </cell>
          <cell r="D34">
            <v>0.332</v>
          </cell>
          <cell r="E34">
            <v>0.3343</v>
          </cell>
          <cell r="F34">
            <v>0.3343</v>
          </cell>
          <cell r="G34">
            <v>0.3343</v>
          </cell>
          <cell r="H34">
            <v>0.3343</v>
          </cell>
          <cell r="I34">
            <v>0.3343</v>
          </cell>
          <cell r="J34">
            <v>0.3343</v>
          </cell>
          <cell r="K34">
            <v>0.3343</v>
          </cell>
          <cell r="L34">
            <v>0.3343</v>
          </cell>
          <cell r="M34">
            <v>0.3343</v>
          </cell>
          <cell r="N34">
            <v>0.3343</v>
          </cell>
          <cell r="O34">
            <v>0.3343</v>
          </cell>
        </row>
        <row r="35">
          <cell r="A35" t="str">
            <v>Annual trip 3000 km</v>
          </cell>
          <cell r="B35">
            <v>0.1039</v>
          </cell>
          <cell r="C35">
            <v>0.107</v>
          </cell>
          <cell r="D35">
            <v>0.1106</v>
          </cell>
          <cell r="E35">
            <v>0.1114</v>
          </cell>
          <cell r="F35">
            <v>0.1114</v>
          </cell>
          <cell r="G35">
            <v>0.1114</v>
          </cell>
          <cell r="H35">
            <v>0.1114</v>
          </cell>
          <cell r="I35">
            <v>0.1114</v>
          </cell>
          <cell r="J35">
            <v>0.1114</v>
          </cell>
          <cell r="K35">
            <v>0.1114</v>
          </cell>
          <cell r="L35">
            <v>0.1114</v>
          </cell>
          <cell r="M35">
            <v>0.1114</v>
          </cell>
          <cell r="N35">
            <v>0.1114</v>
          </cell>
          <cell r="O35">
            <v>0.1114</v>
          </cell>
        </row>
        <row r="36">
          <cell r="A36" t="str">
            <v>Annual trip 4000 km</v>
          </cell>
          <cell r="B36">
            <v>0.05</v>
          </cell>
          <cell r="C36">
            <v>0.0515</v>
          </cell>
          <cell r="D36">
            <v>0.0532</v>
          </cell>
          <cell r="E36">
            <v>0.0536</v>
          </cell>
          <cell r="F36">
            <v>0.0536</v>
          </cell>
          <cell r="G36">
            <v>0.0536</v>
          </cell>
          <cell r="H36">
            <v>0.0536</v>
          </cell>
          <cell r="I36">
            <v>0.0536</v>
          </cell>
          <cell r="J36">
            <v>0.0536</v>
          </cell>
          <cell r="K36">
            <v>0.0536</v>
          </cell>
          <cell r="L36">
            <v>0.0536</v>
          </cell>
          <cell r="M36">
            <v>0.0536</v>
          </cell>
          <cell r="N36">
            <v>0.0536</v>
          </cell>
          <cell r="O36">
            <v>0.0536</v>
          </cell>
        </row>
        <row r="37">
          <cell r="A37" t="str">
            <v>Annual trip 10000 km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Annual trip bonus 0 km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Annual trip bonus 725 km</v>
          </cell>
          <cell r="B39">
            <v>155.86</v>
          </cell>
          <cell r="C39">
            <v>160.54</v>
          </cell>
          <cell r="D39">
            <v>166</v>
          </cell>
          <cell r="E39">
            <v>167.16</v>
          </cell>
          <cell r="F39">
            <v>167.16</v>
          </cell>
          <cell r="G39">
            <v>167.16</v>
          </cell>
          <cell r="H39">
            <v>167.16</v>
          </cell>
          <cell r="I39">
            <v>167.16</v>
          </cell>
          <cell r="J39">
            <v>167.16</v>
          </cell>
          <cell r="K39">
            <v>167.16</v>
          </cell>
          <cell r="L39">
            <v>167.16</v>
          </cell>
          <cell r="M39">
            <v>167.16</v>
          </cell>
          <cell r="N39">
            <v>167.16</v>
          </cell>
          <cell r="O39">
            <v>167.16</v>
          </cell>
        </row>
        <row r="40">
          <cell r="A40" t="str">
            <v>Annual trip bonus 1450 km</v>
          </cell>
          <cell r="B40">
            <v>311.72</v>
          </cell>
          <cell r="C40">
            <v>321.07</v>
          </cell>
          <cell r="D40">
            <v>331.99</v>
          </cell>
          <cell r="E40">
            <v>334.31</v>
          </cell>
          <cell r="F40">
            <v>334.31</v>
          </cell>
          <cell r="G40">
            <v>334.31</v>
          </cell>
          <cell r="H40">
            <v>334.31</v>
          </cell>
          <cell r="I40">
            <v>334.31</v>
          </cell>
          <cell r="J40">
            <v>334.31</v>
          </cell>
          <cell r="K40">
            <v>334.31</v>
          </cell>
          <cell r="L40">
            <v>334.31</v>
          </cell>
          <cell r="M40">
            <v>334.31</v>
          </cell>
          <cell r="N40">
            <v>334.31</v>
          </cell>
          <cell r="O40">
            <v>334.31</v>
          </cell>
        </row>
        <row r="41">
          <cell r="A41" t="str">
            <v>Parental leave: married</v>
          </cell>
          <cell r="B41">
            <v>750</v>
          </cell>
          <cell r="C41">
            <v>772.5</v>
          </cell>
          <cell r="D41">
            <v>798.77</v>
          </cell>
          <cell r="E41">
            <v>804.36</v>
          </cell>
          <cell r="F41">
            <v>804.36</v>
          </cell>
          <cell r="G41">
            <v>804.36</v>
          </cell>
          <cell r="H41">
            <v>804.36</v>
          </cell>
          <cell r="I41">
            <v>804.36</v>
          </cell>
          <cell r="J41">
            <v>804.36</v>
          </cell>
          <cell r="K41">
            <v>804.36</v>
          </cell>
          <cell r="L41">
            <v>804.36</v>
          </cell>
          <cell r="M41">
            <v>804.36</v>
          </cell>
          <cell r="N41">
            <v>804.36</v>
          </cell>
          <cell r="O41">
            <v>804.36</v>
          </cell>
        </row>
        <row r="42">
          <cell r="A42" t="str">
            <v>Parental leave: single</v>
          </cell>
          <cell r="B42">
            <v>1000</v>
          </cell>
          <cell r="C42">
            <v>1030</v>
          </cell>
          <cell r="D42">
            <v>1065.02</v>
          </cell>
          <cell r="E42">
            <v>1072.48</v>
          </cell>
          <cell r="F42">
            <v>1072.48</v>
          </cell>
          <cell r="G42">
            <v>1072.48</v>
          </cell>
          <cell r="H42">
            <v>1072.48</v>
          </cell>
          <cell r="I42">
            <v>1072.48</v>
          </cell>
          <cell r="J42">
            <v>1072.48</v>
          </cell>
          <cell r="K42">
            <v>1072.48</v>
          </cell>
          <cell r="L42">
            <v>1072.48</v>
          </cell>
          <cell r="M42">
            <v>1072.48</v>
          </cell>
          <cell r="N42">
            <v>1072.48</v>
          </cell>
          <cell r="O42">
            <v>1072.48</v>
          </cell>
        </row>
        <row r="43">
          <cell r="A43" t="str">
            <v>Subsistence allowance if household allowance</v>
          </cell>
          <cell r="B43">
            <v>32.21</v>
          </cell>
          <cell r="C43">
            <v>33.18</v>
          </cell>
          <cell r="D43">
            <v>34.31</v>
          </cell>
          <cell r="E43">
            <v>34.55</v>
          </cell>
          <cell r="F43">
            <v>34.55</v>
          </cell>
          <cell r="G43">
            <v>34.55</v>
          </cell>
          <cell r="H43">
            <v>34.55</v>
          </cell>
          <cell r="I43">
            <v>34.55</v>
          </cell>
          <cell r="J43">
            <v>34.55</v>
          </cell>
          <cell r="K43">
            <v>34.55</v>
          </cell>
          <cell r="L43">
            <v>34.55</v>
          </cell>
          <cell r="M43">
            <v>34.55</v>
          </cell>
          <cell r="N43">
            <v>34.55</v>
          </cell>
          <cell r="O43">
            <v>34.55</v>
          </cell>
        </row>
        <row r="44">
          <cell r="A44" t="str">
            <v>Subsistence allowance if no household allowance</v>
          </cell>
          <cell r="B44">
            <v>25.98</v>
          </cell>
          <cell r="C44">
            <v>26.76</v>
          </cell>
          <cell r="D44">
            <v>27.67</v>
          </cell>
          <cell r="E44">
            <v>27.86</v>
          </cell>
          <cell r="F44">
            <v>27.86</v>
          </cell>
          <cell r="G44">
            <v>27.86</v>
          </cell>
          <cell r="H44">
            <v>27.86</v>
          </cell>
          <cell r="I44">
            <v>27.86</v>
          </cell>
          <cell r="J44">
            <v>27.86</v>
          </cell>
          <cell r="K44">
            <v>27.86</v>
          </cell>
          <cell r="L44">
            <v>27.86</v>
          </cell>
          <cell r="M44">
            <v>27.86</v>
          </cell>
          <cell r="N44">
            <v>27.86</v>
          </cell>
          <cell r="O44">
            <v>27.86</v>
          </cell>
        </row>
        <row r="45">
          <cell r="A45" t="str">
            <v>Temp. agt installation if household allowance</v>
          </cell>
          <cell r="B45">
            <v>917.21</v>
          </cell>
          <cell r="C45">
            <v>944.73</v>
          </cell>
          <cell r="D45">
            <v>976.85</v>
          </cell>
          <cell r="E45">
            <v>983.69</v>
          </cell>
          <cell r="F45">
            <v>983.69</v>
          </cell>
          <cell r="G45">
            <v>983.69</v>
          </cell>
          <cell r="H45">
            <v>983.69</v>
          </cell>
          <cell r="I45">
            <v>983.69</v>
          </cell>
          <cell r="J45">
            <v>983.69</v>
          </cell>
          <cell r="K45">
            <v>983.69</v>
          </cell>
          <cell r="L45">
            <v>983.69</v>
          </cell>
          <cell r="M45">
            <v>983.69</v>
          </cell>
          <cell r="N45">
            <v>983.69</v>
          </cell>
          <cell r="O45">
            <v>983.69</v>
          </cell>
        </row>
        <row r="46">
          <cell r="A46" t="str">
            <v>Temp. agt installation if no household allowance</v>
          </cell>
          <cell r="B46">
            <v>545.37</v>
          </cell>
          <cell r="C46">
            <v>561.73</v>
          </cell>
          <cell r="D46">
            <v>580.83</v>
          </cell>
          <cell r="E46">
            <v>584.9</v>
          </cell>
          <cell r="F46">
            <v>584.9</v>
          </cell>
          <cell r="G46">
            <v>584.9</v>
          </cell>
          <cell r="H46">
            <v>584.9</v>
          </cell>
          <cell r="I46">
            <v>584.9</v>
          </cell>
          <cell r="J46">
            <v>584.9</v>
          </cell>
          <cell r="K46">
            <v>584.9</v>
          </cell>
          <cell r="L46">
            <v>584.9</v>
          </cell>
          <cell r="M46">
            <v>584.9</v>
          </cell>
          <cell r="N46">
            <v>584.9</v>
          </cell>
          <cell r="O46">
            <v>584.9</v>
          </cell>
        </row>
        <row r="47">
          <cell r="A47" t="str">
            <v>Temp. agt unemployment minimum</v>
          </cell>
          <cell r="B47">
            <v>1100</v>
          </cell>
          <cell r="C47">
            <v>1133</v>
          </cell>
          <cell r="D47">
            <v>1171.52</v>
          </cell>
          <cell r="E47">
            <v>1179.72</v>
          </cell>
          <cell r="F47">
            <v>1179.72</v>
          </cell>
          <cell r="G47">
            <v>1179.72</v>
          </cell>
          <cell r="H47">
            <v>1179.72</v>
          </cell>
          <cell r="I47">
            <v>1179.72</v>
          </cell>
          <cell r="J47">
            <v>1179.72</v>
          </cell>
          <cell r="K47">
            <v>1179.72</v>
          </cell>
          <cell r="L47">
            <v>1179.72</v>
          </cell>
          <cell r="M47">
            <v>1179.72</v>
          </cell>
          <cell r="N47">
            <v>1179.72</v>
          </cell>
          <cell r="O47">
            <v>1179.72</v>
          </cell>
        </row>
        <row r="48">
          <cell r="A48" t="str">
            <v>Temp. agt unemployment maximum</v>
          </cell>
          <cell r="B48">
            <v>2200</v>
          </cell>
          <cell r="C48">
            <v>2266</v>
          </cell>
          <cell r="D48">
            <v>2343.04</v>
          </cell>
          <cell r="E48">
            <v>2359.44</v>
          </cell>
          <cell r="F48">
            <v>2359.44</v>
          </cell>
          <cell r="G48">
            <v>2359.44</v>
          </cell>
          <cell r="H48">
            <v>2359.44</v>
          </cell>
          <cell r="I48">
            <v>2359.44</v>
          </cell>
          <cell r="J48">
            <v>2359.44</v>
          </cell>
          <cell r="K48">
            <v>2359.44</v>
          </cell>
          <cell r="L48">
            <v>2359.44</v>
          </cell>
          <cell r="M48">
            <v>2359.44</v>
          </cell>
          <cell r="N48">
            <v>2359.44</v>
          </cell>
          <cell r="O48">
            <v>2359.44</v>
          </cell>
        </row>
        <row r="49">
          <cell r="A49" t="str">
            <v>Temp. agt unemployment abatement</v>
          </cell>
          <cell r="B49">
            <v>1000</v>
          </cell>
          <cell r="C49">
            <v>1030</v>
          </cell>
          <cell r="D49">
            <v>1065.02</v>
          </cell>
          <cell r="E49">
            <v>1072.48</v>
          </cell>
          <cell r="F49">
            <v>1072.48</v>
          </cell>
          <cell r="G49">
            <v>1072.48</v>
          </cell>
          <cell r="H49">
            <v>1072.48</v>
          </cell>
          <cell r="I49">
            <v>1072.48</v>
          </cell>
          <cell r="J49">
            <v>1072.48</v>
          </cell>
          <cell r="K49">
            <v>1072.48</v>
          </cell>
          <cell r="L49">
            <v>1072.48</v>
          </cell>
          <cell r="M49">
            <v>1072.48</v>
          </cell>
          <cell r="N49">
            <v>1072.48</v>
          </cell>
          <cell r="O49">
            <v>1072.48</v>
          </cell>
        </row>
        <row r="50">
          <cell r="A50" t="str">
            <v>Contr. agt installation if household allowance</v>
          </cell>
          <cell r="B50">
            <v>689.9</v>
          </cell>
          <cell r="C50">
            <v>710.6</v>
          </cell>
          <cell r="D50">
            <v>734.76</v>
          </cell>
          <cell r="E50">
            <v>739.9</v>
          </cell>
          <cell r="F50">
            <v>739.9</v>
          </cell>
          <cell r="G50">
            <v>739.9</v>
          </cell>
          <cell r="H50">
            <v>739.9</v>
          </cell>
          <cell r="I50">
            <v>739.9</v>
          </cell>
          <cell r="J50">
            <v>739.9</v>
          </cell>
          <cell r="K50">
            <v>739.9</v>
          </cell>
          <cell r="L50">
            <v>739.9</v>
          </cell>
          <cell r="M50">
            <v>739.9</v>
          </cell>
          <cell r="N50">
            <v>739.9</v>
          </cell>
          <cell r="O50">
            <v>739.9</v>
          </cell>
        </row>
        <row r="51">
          <cell r="A51" t="str">
            <v>Contr. agt installation if no household allowance</v>
          </cell>
          <cell r="B51">
            <v>409.03</v>
          </cell>
          <cell r="C51">
            <v>421.3</v>
          </cell>
          <cell r="D51">
            <v>435.62</v>
          </cell>
          <cell r="E51">
            <v>438.67</v>
          </cell>
          <cell r="F51">
            <v>438.67</v>
          </cell>
          <cell r="G51">
            <v>438.67</v>
          </cell>
          <cell r="H51">
            <v>438.67</v>
          </cell>
          <cell r="I51">
            <v>438.67</v>
          </cell>
          <cell r="J51">
            <v>438.67</v>
          </cell>
          <cell r="K51">
            <v>438.67</v>
          </cell>
          <cell r="L51">
            <v>438.67</v>
          </cell>
          <cell r="M51">
            <v>438.67</v>
          </cell>
          <cell r="N51">
            <v>438.67</v>
          </cell>
          <cell r="O51">
            <v>438.67</v>
          </cell>
        </row>
        <row r="52">
          <cell r="A52" t="str">
            <v>Contr. agt unemployment minimum</v>
          </cell>
          <cell r="B52">
            <v>825</v>
          </cell>
          <cell r="C52">
            <v>849.75</v>
          </cell>
          <cell r="D52">
            <v>878.64</v>
          </cell>
          <cell r="E52">
            <v>884.79</v>
          </cell>
          <cell r="F52">
            <v>884.79</v>
          </cell>
          <cell r="G52">
            <v>884.79</v>
          </cell>
          <cell r="H52">
            <v>884.79</v>
          </cell>
          <cell r="I52">
            <v>884.79</v>
          </cell>
          <cell r="J52">
            <v>884.79</v>
          </cell>
          <cell r="K52">
            <v>884.79</v>
          </cell>
          <cell r="L52">
            <v>884.79</v>
          </cell>
          <cell r="M52">
            <v>884.79</v>
          </cell>
          <cell r="N52">
            <v>884.79</v>
          </cell>
          <cell r="O52">
            <v>884.79</v>
          </cell>
        </row>
        <row r="53">
          <cell r="A53" t="str">
            <v>Contr. agt unemployment maximum</v>
          </cell>
          <cell r="B53">
            <v>1650</v>
          </cell>
          <cell r="C53">
            <v>1699.5</v>
          </cell>
          <cell r="D53">
            <v>1757.28</v>
          </cell>
          <cell r="E53">
            <v>1769.58</v>
          </cell>
          <cell r="F53">
            <v>1769.58</v>
          </cell>
          <cell r="G53">
            <v>1769.58</v>
          </cell>
          <cell r="H53">
            <v>1769.58</v>
          </cell>
          <cell r="I53">
            <v>1769.58</v>
          </cell>
          <cell r="J53">
            <v>1769.58</v>
          </cell>
          <cell r="K53">
            <v>1769.58</v>
          </cell>
          <cell r="L53">
            <v>1769.58</v>
          </cell>
          <cell r="M53">
            <v>1769.58</v>
          </cell>
          <cell r="N53">
            <v>1769.58</v>
          </cell>
          <cell r="O53">
            <v>1769.58</v>
          </cell>
        </row>
        <row r="54">
          <cell r="A54" t="str">
            <v>Contr. agt unemployment abatement</v>
          </cell>
          <cell r="B54">
            <v>750</v>
          </cell>
          <cell r="C54">
            <v>772.5</v>
          </cell>
          <cell r="D54">
            <v>798.77</v>
          </cell>
          <cell r="E54">
            <v>804.36</v>
          </cell>
          <cell r="F54">
            <v>804.36</v>
          </cell>
          <cell r="G54">
            <v>804.36</v>
          </cell>
          <cell r="H54">
            <v>804.36</v>
          </cell>
          <cell r="I54">
            <v>804.36</v>
          </cell>
          <cell r="J54">
            <v>804.36</v>
          </cell>
          <cell r="K54">
            <v>804.36</v>
          </cell>
          <cell r="L54">
            <v>804.36</v>
          </cell>
          <cell r="M54">
            <v>804.36</v>
          </cell>
          <cell r="N54">
            <v>804.36</v>
          </cell>
          <cell r="O54">
            <v>804.36</v>
          </cell>
        </row>
        <row r="55">
          <cell r="A55" t="str">
            <v>Special levy</v>
          </cell>
          <cell r="B55">
            <v>0.0583</v>
          </cell>
          <cell r="C55">
            <v>0.0583</v>
          </cell>
          <cell r="D55">
            <v>0.025</v>
          </cell>
          <cell r="E55">
            <v>0.025</v>
          </cell>
          <cell r="F55">
            <v>0.0293</v>
          </cell>
          <cell r="G55">
            <v>0.0336</v>
          </cell>
          <cell r="H55">
            <v>0.0379</v>
          </cell>
          <cell r="I55">
            <v>0.0421</v>
          </cell>
          <cell r="J55">
            <v>0.0464</v>
          </cell>
          <cell r="K55">
            <v>0.0507</v>
          </cell>
          <cell r="L55">
            <v>0.055</v>
          </cell>
          <cell r="M55">
            <v>0.055</v>
          </cell>
          <cell r="N55">
            <v>0.055</v>
          </cell>
          <cell r="O55">
            <v>0.055</v>
          </cell>
        </row>
        <row r="56">
          <cell r="A56" t="str">
            <v>Special levy yearN1</v>
          </cell>
          <cell r="D56">
            <v>0.0293</v>
          </cell>
          <cell r="E56">
            <v>0.0293</v>
          </cell>
          <cell r="F56">
            <v>0.0336</v>
          </cell>
          <cell r="G56">
            <v>0.0379</v>
          </cell>
          <cell r="H56">
            <v>0.0421</v>
          </cell>
          <cell r="I56">
            <v>0.0464</v>
          </cell>
          <cell r="J56">
            <v>0.0507</v>
          </cell>
          <cell r="K56">
            <v>0.055</v>
          </cell>
          <cell r="L56">
            <v>0.055</v>
          </cell>
          <cell r="M56">
            <v>0.055</v>
          </cell>
          <cell r="N56">
            <v>0.055</v>
          </cell>
          <cell r="O56">
            <v>0.055</v>
          </cell>
        </row>
        <row r="57">
          <cell r="A57" t="str">
            <v>Pension rate</v>
          </cell>
          <cell r="B57">
            <v>0.0825</v>
          </cell>
          <cell r="C57">
            <v>0.0825</v>
          </cell>
          <cell r="D57">
            <v>0.0925</v>
          </cell>
          <cell r="E57">
            <v>0.0975</v>
          </cell>
        </row>
        <row r="58">
          <cell r="A58" t="str">
            <v>Temp. agt unemployment rate</v>
          </cell>
          <cell r="B58">
            <v>0.004</v>
          </cell>
          <cell r="C58">
            <v>0.004</v>
          </cell>
          <cell r="D58">
            <v>0.0081</v>
          </cell>
          <cell r="E58">
            <v>0.0081</v>
          </cell>
        </row>
        <row r="59">
          <cell r="A59" t="str">
            <v>Contr. agt unemployment rate</v>
          </cell>
          <cell r="B59" t="e">
            <v>#N/A</v>
          </cell>
          <cell r="C59" t="e">
            <v>#N/A</v>
          </cell>
          <cell r="D59">
            <v>0.0081</v>
          </cell>
          <cell r="E59">
            <v>0.0081</v>
          </cell>
        </row>
        <row r="60">
          <cell r="A60" t="str">
            <v>Relex complementary sickness insurance </v>
          </cell>
          <cell r="B60">
            <v>0.005</v>
          </cell>
          <cell r="C60">
            <v>0.005</v>
          </cell>
          <cell r="D60">
            <v>0.005</v>
          </cell>
          <cell r="E60">
            <v>0.005</v>
          </cell>
          <cell r="F60">
            <v>0.005</v>
          </cell>
          <cell r="G60">
            <v>0.005</v>
          </cell>
          <cell r="H60">
            <v>0.005</v>
          </cell>
          <cell r="I60">
            <v>0.005</v>
          </cell>
          <cell r="J60">
            <v>0.005</v>
          </cell>
          <cell r="K60">
            <v>0.005</v>
          </cell>
          <cell r="L60">
            <v>0.005</v>
          </cell>
          <cell r="M60">
            <v>0.005</v>
          </cell>
          <cell r="N60">
            <v>0.005</v>
          </cell>
          <cell r="O60">
            <v>0.005</v>
          </cell>
        </row>
        <row r="61">
          <cell r="A61" t="str">
            <v>Relex dependant accident insurance</v>
          </cell>
          <cell r="B61">
            <v>0.00039</v>
          </cell>
          <cell r="C61">
            <v>0.00039</v>
          </cell>
          <cell r="D61">
            <v>0.00039</v>
          </cell>
          <cell r="E61">
            <v>0.00039</v>
          </cell>
          <cell r="F61">
            <v>0.00039</v>
          </cell>
          <cell r="G61">
            <v>0.00039</v>
          </cell>
          <cell r="H61">
            <v>0.00039</v>
          </cell>
          <cell r="I61">
            <v>0.00039</v>
          </cell>
          <cell r="J61">
            <v>0.00039</v>
          </cell>
          <cell r="K61">
            <v>0.00039</v>
          </cell>
          <cell r="L61">
            <v>0.00039</v>
          </cell>
          <cell r="M61">
            <v>0.00039</v>
          </cell>
          <cell r="N61">
            <v>0.00039</v>
          </cell>
          <cell r="O61">
            <v>0.00039</v>
          </cell>
        </row>
        <row r="62">
          <cell r="A62" t="str">
            <v>Expatriation rate</v>
          </cell>
          <cell r="B62">
            <v>0.16</v>
          </cell>
          <cell r="C62">
            <v>0.16</v>
          </cell>
          <cell r="D62">
            <v>0.16</v>
          </cell>
          <cell r="E62">
            <v>0.16</v>
          </cell>
          <cell r="F62">
            <v>0.16</v>
          </cell>
          <cell r="G62">
            <v>0.16</v>
          </cell>
          <cell r="H62">
            <v>0.16</v>
          </cell>
          <cell r="I62">
            <v>0.16</v>
          </cell>
          <cell r="J62">
            <v>0.16</v>
          </cell>
          <cell r="K62">
            <v>0.16</v>
          </cell>
          <cell r="L62">
            <v>0.16</v>
          </cell>
          <cell r="M62">
            <v>0.16</v>
          </cell>
          <cell r="N62">
            <v>0.16</v>
          </cell>
          <cell r="O62">
            <v>0.16</v>
          </cell>
        </row>
        <row r="63">
          <cell r="A63" t="str">
            <v>Household allowance %</v>
          </cell>
          <cell r="B63">
            <v>0.02</v>
          </cell>
          <cell r="C63">
            <v>0.02</v>
          </cell>
          <cell r="D63">
            <v>0.02</v>
          </cell>
          <cell r="E63">
            <v>0.02</v>
          </cell>
          <cell r="F63">
            <v>0.02</v>
          </cell>
          <cell r="G63">
            <v>0.02</v>
          </cell>
          <cell r="H63">
            <v>0.02</v>
          </cell>
          <cell r="I63">
            <v>0.02</v>
          </cell>
          <cell r="J63">
            <v>0.02</v>
          </cell>
          <cell r="K63">
            <v>0.02</v>
          </cell>
          <cell r="L63">
            <v>0.02</v>
          </cell>
          <cell r="M63">
            <v>0.02</v>
          </cell>
          <cell r="N63">
            <v>0.02</v>
          </cell>
          <cell r="O63">
            <v>0.02</v>
          </cell>
        </row>
        <row r="64">
          <cell r="A64" t="str">
            <v>Sicknes rate</v>
          </cell>
          <cell r="B64">
            <v>0.017</v>
          </cell>
          <cell r="C64">
            <v>0.017</v>
          </cell>
          <cell r="D64">
            <v>0.017</v>
          </cell>
          <cell r="E64">
            <v>0.017</v>
          </cell>
          <cell r="F64">
            <v>0.017</v>
          </cell>
          <cell r="G64">
            <v>0.017</v>
          </cell>
          <cell r="H64">
            <v>0.017</v>
          </cell>
          <cell r="I64">
            <v>0.017</v>
          </cell>
          <cell r="J64">
            <v>0.017</v>
          </cell>
          <cell r="K64">
            <v>0.017</v>
          </cell>
          <cell r="L64">
            <v>0.017</v>
          </cell>
          <cell r="M64">
            <v>0.017</v>
          </cell>
          <cell r="N64">
            <v>0.017</v>
          </cell>
          <cell r="O64">
            <v>0.017</v>
          </cell>
        </row>
        <row r="65">
          <cell r="A65" t="str">
            <v>Accident rate</v>
          </cell>
          <cell r="B65">
            <v>0.001</v>
          </cell>
          <cell r="C65">
            <v>0.001</v>
          </cell>
          <cell r="D65">
            <v>0.001</v>
          </cell>
          <cell r="E65">
            <v>0.001</v>
          </cell>
          <cell r="F65">
            <v>0.001</v>
          </cell>
          <cell r="G65">
            <v>0.001</v>
          </cell>
          <cell r="H65">
            <v>0.001</v>
          </cell>
          <cell r="I65">
            <v>0.001</v>
          </cell>
          <cell r="J65">
            <v>0.001</v>
          </cell>
          <cell r="K65">
            <v>0.001</v>
          </cell>
          <cell r="L65">
            <v>0.001</v>
          </cell>
          <cell r="M65">
            <v>0.001</v>
          </cell>
          <cell r="N65">
            <v>0.001</v>
          </cell>
          <cell r="O65">
            <v>0.001</v>
          </cell>
        </row>
        <row r="66">
          <cell r="A66" t="str">
            <v>Annex XIII</v>
          </cell>
        </row>
        <row r="67">
          <cell r="A67" t="str">
            <v>Education allowance 36%</v>
          </cell>
          <cell r="D67">
            <v>79.74</v>
          </cell>
          <cell r="E67">
            <v>79.74</v>
          </cell>
          <cell r="F67">
            <v>63.79</v>
          </cell>
          <cell r="G67">
            <v>47.84</v>
          </cell>
          <cell r="H67">
            <v>31.9</v>
          </cell>
          <cell r="I67">
            <v>15.95</v>
          </cell>
          <cell r="J67">
            <v>0</v>
          </cell>
        </row>
        <row r="68">
          <cell r="A68" t="str">
            <v>Education allowance 50%</v>
          </cell>
          <cell r="D68">
            <v>110.75</v>
          </cell>
          <cell r="E68">
            <v>110.75</v>
          </cell>
          <cell r="F68">
            <v>88.6</v>
          </cell>
          <cell r="G68">
            <v>66.45</v>
          </cell>
          <cell r="H68">
            <v>44.3</v>
          </cell>
          <cell r="I68">
            <v>22.15</v>
          </cell>
          <cell r="J68">
            <v>0</v>
          </cell>
        </row>
        <row r="69">
          <cell r="A69" t="str">
            <v>Preschool allowance 1/5/04-31/8/05</v>
          </cell>
          <cell r="D69">
            <v>15.95</v>
          </cell>
          <cell r="E69">
            <v>16.06</v>
          </cell>
          <cell r="F69">
            <v>16.06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Preschool allowance 1/9/05-31/8/06</v>
          </cell>
          <cell r="D70">
            <v>31.9</v>
          </cell>
          <cell r="E70">
            <v>32.12</v>
          </cell>
          <cell r="F70">
            <v>32.12</v>
          </cell>
          <cell r="G70">
            <v>32.12</v>
          </cell>
          <cell r="I70">
            <v>0</v>
          </cell>
          <cell r="J70">
            <v>0</v>
          </cell>
        </row>
        <row r="71">
          <cell r="A71" t="str">
            <v>Preschool allowance 1/9/06-31/8/07</v>
          </cell>
          <cell r="D71">
            <v>47.84</v>
          </cell>
          <cell r="E71">
            <v>48.17</v>
          </cell>
          <cell r="F71">
            <v>48.17</v>
          </cell>
          <cell r="G71">
            <v>48.17</v>
          </cell>
          <cell r="H71">
            <v>48.17</v>
          </cell>
          <cell r="J71">
            <v>0</v>
          </cell>
        </row>
        <row r="72">
          <cell r="A72" t="str">
            <v>Preschool allowance 1/9/07-31/8/08</v>
          </cell>
          <cell r="D72">
            <v>63.79</v>
          </cell>
          <cell r="E72">
            <v>64.24</v>
          </cell>
          <cell r="F72">
            <v>64.24</v>
          </cell>
          <cell r="G72">
            <v>64.24</v>
          </cell>
          <cell r="H72">
            <v>64.24</v>
          </cell>
          <cell r="I72">
            <v>64.24</v>
          </cell>
        </row>
        <row r="73">
          <cell r="A73" t="str">
            <v>Preschool allowance 2004</v>
          </cell>
          <cell r="D73" t="str">
            <v>1.5.04 - 31.8.05</v>
          </cell>
          <cell r="E73" t="str">
            <v>1.7.04 - 31.8.05</v>
          </cell>
          <cell r="F73" t="str">
            <v>1.7.05 - 31.8.05</v>
          </cell>
        </row>
        <row r="74">
          <cell r="A74" t="str">
            <v>Preschool allowance 2005</v>
          </cell>
          <cell r="D74" t="str">
            <v>1.9.05 - 31.8.06</v>
          </cell>
          <cell r="E74" t="str">
            <v>1.9.05 - 31.8.06</v>
          </cell>
          <cell r="F74" t="str">
            <v>1.9.05 - 31.8.06</v>
          </cell>
          <cell r="G74" t="str">
            <v>1.7.06 - 31.8.06</v>
          </cell>
        </row>
        <row r="75">
          <cell r="A75" t="str">
            <v>Preschool allowance 2006</v>
          </cell>
          <cell r="D75" t="str">
            <v>1.9.06 - 31.8.07</v>
          </cell>
          <cell r="E75" t="str">
            <v>1.9.06 - 31.8.07</v>
          </cell>
          <cell r="F75" t="str">
            <v>1.9.06 - 31.8.07</v>
          </cell>
          <cell r="G75" t="str">
            <v>1.9.06 - 31.8.07</v>
          </cell>
          <cell r="H75" t="str">
            <v>1.7.07 - 31.8.07</v>
          </cell>
        </row>
        <row r="76">
          <cell r="A76" t="str">
            <v>Preschool allowance 2007</v>
          </cell>
          <cell r="D76" t="str">
            <v>1.9.07 - 31.8.08</v>
          </cell>
          <cell r="E76" t="str">
            <v>1.9.07 - 31.8.08</v>
          </cell>
          <cell r="F76" t="str">
            <v>1.9.07 - 31.8.08</v>
          </cell>
          <cell r="G76" t="str">
            <v>1.9.07 - 31.8.08</v>
          </cell>
          <cell r="H76" t="str">
            <v>1.9.07 - 31.8.08</v>
          </cell>
          <cell r="I76" t="str">
            <v>1.7.08 - 31.8.08</v>
          </cell>
        </row>
        <row r="77">
          <cell r="A77" t="str">
            <v>Child allowance 31/5/04-31/12/04</v>
          </cell>
          <cell r="D77">
            <v>260.96</v>
          </cell>
          <cell r="E77">
            <v>262.79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Child allowance 1/1/05-31/12/05</v>
          </cell>
          <cell r="D78">
            <v>274.05</v>
          </cell>
          <cell r="E78">
            <v>275.97</v>
          </cell>
          <cell r="F78">
            <v>275.97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Child allowance 1/1/06-31/12/06</v>
          </cell>
          <cell r="D79">
            <v>287.15</v>
          </cell>
          <cell r="E79">
            <v>289.16</v>
          </cell>
          <cell r="F79">
            <v>289.16</v>
          </cell>
          <cell r="G79">
            <v>289.16</v>
          </cell>
          <cell r="I79">
            <v>0</v>
          </cell>
          <cell r="J79">
            <v>0</v>
          </cell>
        </row>
        <row r="80">
          <cell r="A80" t="str">
            <v>Child allowance 1/1/07-31/12/07</v>
          </cell>
          <cell r="D80">
            <v>300.25</v>
          </cell>
          <cell r="E80">
            <v>302.35</v>
          </cell>
          <cell r="F80">
            <v>302.35</v>
          </cell>
          <cell r="G80">
            <v>302.35</v>
          </cell>
          <cell r="H80">
            <v>302.35</v>
          </cell>
          <cell r="J80">
            <v>0</v>
          </cell>
        </row>
        <row r="81">
          <cell r="A81" t="str">
            <v>Child allowance 1/1/08-31/12/08</v>
          </cell>
          <cell r="D81">
            <v>313.34</v>
          </cell>
          <cell r="E81">
            <v>315.53</v>
          </cell>
          <cell r="F81">
            <v>315.53</v>
          </cell>
          <cell r="G81">
            <v>315.53</v>
          </cell>
          <cell r="H81">
            <v>315.53</v>
          </cell>
          <cell r="I81">
            <v>315.53</v>
          </cell>
        </row>
        <row r="82">
          <cell r="A82" t="str">
            <v>Child allowance 2004</v>
          </cell>
          <cell r="D82" t="str">
            <v>1.5.04 - 31.12.04</v>
          </cell>
          <cell r="E82" t="str">
            <v>1.7.04 - 31.12.04</v>
          </cell>
        </row>
        <row r="83">
          <cell r="A83" t="str">
            <v>Child allowance 2005</v>
          </cell>
          <cell r="D83" t="str">
            <v>1.1.05 - 31.12.05</v>
          </cell>
          <cell r="E83" t="str">
            <v>1.1.05 - 31.12.05</v>
          </cell>
          <cell r="F83" t="str">
            <v>1.7.05 - 31.12.05</v>
          </cell>
        </row>
        <row r="84">
          <cell r="A84" t="str">
            <v>Child allowance 2006</v>
          </cell>
          <cell r="D84" t="str">
            <v>1.1.06 - 31.12.06</v>
          </cell>
          <cell r="E84" t="str">
            <v>1.1.06 - 31.12.06</v>
          </cell>
          <cell r="F84" t="str">
            <v>1.1.06 - 31.12.06</v>
          </cell>
          <cell r="G84" t="str">
            <v>1.7.06 - 31.12.06</v>
          </cell>
        </row>
        <row r="85">
          <cell r="A85" t="str">
            <v>Child allowance 2007</v>
          </cell>
          <cell r="D85" t="str">
            <v>1.1.07 - 31.12.07</v>
          </cell>
          <cell r="E85" t="str">
            <v>1.1.07 - 31.12.07</v>
          </cell>
          <cell r="F85" t="str">
            <v>1.1.07 - 31.12.07</v>
          </cell>
          <cell r="G85" t="str">
            <v>1.1.07 - 31.12.07</v>
          </cell>
          <cell r="H85" t="str">
            <v>1.7.07 - 31.12.07</v>
          </cell>
        </row>
        <row r="86">
          <cell r="A86" t="str">
            <v>Child allowance 2008</v>
          </cell>
          <cell r="D86" t="str">
            <v>1.1.08 - 31.12.08</v>
          </cell>
          <cell r="E86" t="str">
            <v>1.1.08 - 31.12.08</v>
          </cell>
          <cell r="F86" t="str">
            <v>1.1.08 - 31.12.08</v>
          </cell>
          <cell r="G86" t="str">
            <v>1.1.08 - 31.12.08</v>
          </cell>
          <cell r="H86" t="str">
            <v>1.1.08 - 31.12.08</v>
          </cell>
          <cell r="I86" t="str">
            <v>1.7.08 - 31.12.08</v>
          </cell>
        </row>
        <row r="87">
          <cell r="A87" t="str">
            <v>Grille aux. A1</v>
          </cell>
          <cell r="C87">
            <v>5774.37</v>
          </cell>
          <cell r="D87">
            <v>5970.7</v>
          </cell>
          <cell r="E87">
            <v>6012.49</v>
          </cell>
          <cell r="F87">
            <v>6012.49</v>
          </cell>
          <cell r="G87">
            <v>6012.49</v>
          </cell>
          <cell r="H87">
            <v>6012.49</v>
          </cell>
          <cell r="I87">
            <v>6012.49</v>
          </cell>
          <cell r="J87">
            <v>6012.49</v>
          </cell>
          <cell r="K87">
            <v>6012.49</v>
          </cell>
          <cell r="L87">
            <v>6012.49</v>
          </cell>
          <cell r="M87">
            <v>6012.49</v>
          </cell>
          <cell r="N87">
            <v>6012.49</v>
          </cell>
          <cell r="O87">
            <v>6012.49</v>
          </cell>
        </row>
        <row r="88">
          <cell r="A88" t="str">
            <v>Grille aux. A2</v>
          </cell>
          <cell r="C88">
            <v>4190.95</v>
          </cell>
          <cell r="D88">
            <v>4333.44</v>
          </cell>
          <cell r="E88">
            <v>4363.77</v>
          </cell>
          <cell r="F88">
            <v>4363.77</v>
          </cell>
          <cell r="G88">
            <v>4363.77</v>
          </cell>
          <cell r="H88">
            <v>4363.77</v>
          </cell>
          <cell r="I88">
            <v>4363.77</v>
          </cell>
          <cell r="J88">
            <v>4363.77</v>
          </cell>
          <cell r="K88">
            <v>4363.77</v>
          </cell>
          <cell r="L88">
            <v>4363.77</v>
          </cell>
          <cell r="M88">
            <v>4363.77</v>
          </cell>
          <cell r="N88">
            <v>4363.77</v>
          </cell>
          <cell r="O88">
            <v>4363.77</v>
          </cell>
        </row>
        <row r="89">
          <cell r="A89" t="str">
            <v>Grille aux. A3</v>
          </cell>
          <cell r="C89">
            <v>3521.83</v>
          </cell>
          <cell r="D89">
            <v>3641.57</v>
          </cell>
          <cell r="E89">
            <v>3667.06</v>
          </cell>
          <cell r="F89">
            <v>3667.06</v>
          </cell>
          <cell r="G89">
            <v>3667.06</v>
          </cell>
          <cell r="H89">
            <v>3667.06</v>
          </cell>
          <cell r="I89">
            <v>3667.06</v>
          </cell>
          <cell r="J89">
            <v>3667.06</v>
          </cell>
          <cell r="K89">
            <v>3667.06</v>
          </cell>
          <cell r="L89">
            <v>3667.06</v>
          </cell>
          <cell r="M89">
            <v>3667.06</v>
          </cell>
          <cell r="N89">
            <v>3667.06</v>
          </cell>
          <cell r="O89">
            <v>3667.06</v>
          </cell>
        </row>
        <row r="90">
          <cell r="A90" t="str">
            <v>Grille aux. B4</v>
          </cell>
          <cell r="C90">
            <v>3383.18</v>
          </cell>
          <cell r="D90">
            <v>3498.21</v>
          </cell>
          <cell r="E90">
            <v>3522.7</v>
          </cell>
          <cell r="F90">
            <v>3522.7</v>
          </cell>
          <cell r="G90">
            <v>3522.7</v>
          </cell>
          <cell r="H90">
            <v>3522.7</v>
          </cell>
          <cell r="I90">
            <v>3522.7</v>
          </cell>
          <cell r="J90">
            <v>3522.7</v>
          </cell>
          <cell r="K90">
            <v>3522.7</v>
          </cell>
          <cell r="L90">
            <v>3522.7</v>
          </cell>
          <cell r="M90">
            <v>3522.7</v>
          </cell>
          <cell r="N90">
            <v>3522.7</v>
          </cell>
          <cell r="O90">
            <v>3522.7</v>
          </cell>
        </row>
        <row r="91">
          <cell r="A91" t="str">
            <v>Grille aux. B5</v>
          </cell>
          <cell r="C91">
            <v>2657.44</v>
          </cell>
          <cell r="D91">
            <v>2747.79</v>
          </cell>
          <cell r="E91">
            <v>2767.02</v>
          </cell>
          <cell r="F91">
            <v>2767.02</v>
          </cell>
          <cell r="G91">
            <v>2767.02</v>
          </cell>
          <cell r="H91">
            <v>2767.02</v>
          </cell>
          <cell r="I91">
            <v>2767.02</v>
          </cell>
          <cell r="J91">
            <v>2767.02</v>
          </cell>
          <cell r="K91">
            <v>2767.02</v>
          </cell>
          <cell r="L91">
            <v>2767.02</v>
          </cell>
          <cell r="M91">
            <v>2767.02</v>
          </cell>
          <cell r="N91">
            <v>2767.02</v>
          </cell>
          <cell r="O91">
            <v>2767.02</v>
          </cell>
        </row>
        <row r="92">
          <cell r="A92" t="str">
            <v>Grille aux. C6</v>
          </cell>
          <cell r="C92">
            <v>2527.41</v>
          </cell>
          <cell r="D92">
            <v>2613.34</v>
          </cell>
          <cell r="E92">
            <v>2631.63</v>
          </cell>
          <cell r="F92">
            <v>2631.63</v>
          </cell>
          <cell r="G92">
            <v>2631.63</v>
          </cell>
          <cell r="H92">
            <v>2631.63</v>
          </cell>
          <cell r="I92">
            <v>2631.63</v>
          </cell>
          <cell r="J92">
            <v>2631.63</v>
          </cell>
          <cell r="K92">
            <v>2631.63</v>
          </cell>
          <cell r="L92">
            <v>2631.63</v>
          </cell>
          <cell r="M92">
            <v>2631.63</v>
          </cell>
          <cell r="N92">
            <v>2631.63</v>
          </cell>
          <cell r="O92">
            <v>2631.63</v>
          </cell>
        </row>
        <row r="93">
          <cell r="A93" t="str">
            <v>Grille aux. C7</v>
          </cell>
          <cell r="C93">
            <v>2262.12</v>
          </cell>
          <cell r="D93">
            <v>2339.03</v>
          </cell>
          <cell r="E93">
            <v>2355.4</v>
          </cell>
          <cell r="F93">
            <v>2355.4</v>
          </cell>
          <cell r="G93">
            <v>2355.4</v>
          </cell>
          <cell r="H93">
            <v>2355.4</v>
          </cell>
          <cell r="I93">
            <v>2355.4</v>
          </cell>
          <cell r="J93">
            <v>2355.4</v>
          </cell>
          <cell r="K93">
            <v>2355.4</v>
          </cell>
          <cell r="L93">
            <v>2355.4</v>
          </cell>
          <cell r="M93">
            <v>2355.4</v>
          </cell>
          <cell r="N93">
            <v>2355.4</v>
          </cell>
          <cell r="O93">
            <v>2355.4</v>
          </cell>
        </row>
        <row r="94">
          <cell r="A94" t="str">
            <v>Grille aux. D8</v>
          </cell>
          <cell r="C94">
            <v>2044.6</v>
          </cell>
          <cell r="D94">
            <v>2114.12</v>
          </cell>
          <cell r="E94">
            <v>2128.92</v>
          </cell>
          <cell r="F94">
            <v>2128.92</v>
          </cell>
          <cell r="G94">
            <v>2128.92</v>
          </cell>
          <cell r="H94">
            <v>2128.92</v>
          </cell>
          <cell r="I94">
            <v>2128.92</v>
          </cell>
          <cell r="J94">
            <v>2128.92</v>
          </cell>
          <cell r="K94">
            <v>2128.92</v>
          </cell>
          <cell r="L94">
            <v>2128.92</v>
          </cell>
          <cell r="M94">
            <v>2128.92</v>
          </cell>
          <cell r="N94">
            <v>2128.92</v>
          </cell>
          <cell r="O94">
            <v>2128.92</v>
          </cell>
        </row>
        <row r="95">
          <cell r="A95" t="str">
            <v>Grille aux. D9</v>
          </cell>
          <cell r="C95">
            <v>1969.03</v>
          </cell>
          <cell r="D95">
            <v>2035.98</v>
          </cell>
          <cell r="E95">
            <v>2050.23</v>
          </cell>
          <cell r="F95">
            <v>2050.23</v>
          </cell>
          <cell r="G95">
            <v>2050.23</v>
          </cell>
          <cell r="H95">
            <v>2050.23</v>
          </cell>
          <cell r="I95">
            <v>2050.23</v>
          </cell>
          <cell r="J95">
            <v>2050.23</v>
          </cell>
          <cell r="K95">
            <v>2050.23</v>
          </cell>
          <cell r="L95">
            <v>2050.23</v>
          </cell>
          <cell r="M95">
            <v>2050.23</v>
          </cell>
          <cell r="N95">
            <v>2050.23</v>
          </cell>
          <cell r="O95">
            <v>2050.23</v>
          </cell>
        </row>
        <row r="96">
          <cell r="A96" t="str">
            <v>Echelon aux. A1</v>
          </cell>
          <cell r="C96">
            <v>715.26</v>
          </cell>
          <cell r="D96">
            <v>739.58</v>
          </cell>
          <cell r="E96">
            <v>744.76</v>
          </cell>
          <cell r="F96">
            <v>744.76</v>
          </cell>
          <cell r="G96">
            <v>744.76</v>
          </cell>
          <cell r="H96">
            <v>744.76</v>
          </cell>
          <cell r="I96">
            <v>744.76</v>
          </cell>
          <cell r="J96">
            <v>744.76</v>
          </cell>
          <cell r="K96">
            <v>744.76</v>
          </cell>
          <cell r="L96">
            <v>744.76</v>
          </cell>
          <cell r="M96">
            <v>744.76</v>
          </cell>
          <cell r="N96">
            <v>744.76</v>
          </cell>
          <cell r="O96">
            <v>744.76</v>
          </cell>
        </row>
        <row r="97">
          <cell r="A97" t="str">
            <v>Echelon aux. A2</v>
          </cell>
          <cell r="C97">
            <v>408.38</v>
          </cell>
          <cell r="D97">
            <v>422.26</v>
          </cell>
          <cell r="E97">
            <v>425.22</v>
          </cell>
          <cell r="F97">
            <v>425.22</v>
          </cell>
          <cell r="G97">
            <v>425.22</v>
          </cell>
          <cell r="H97">
            <v>425.22</v>
          </cell>
          <cell r="I97">
            <v>425.22</v>
          </cell>
          <cell r="J97">
            <v>425.22</v>
          </cell>
          <cell r="K97">
            <v>425.22</v>
          </cell>
          <cell r="L97">
            <v>425.22</v>
          </cell>
          <cell r="M97">
            <v>425.22</v>
          </cell>
          <cell r="N97">
            <v>425.22</v>
          </cell>
          <cell r="O97">
            <v>425.22</v>
          </cell>
        </row>
        <row r="98">
          <cell r="A98" t="str">
            <v>Echelon aux. A3</v>
          </cell>
          <cell r="C98">
            <v>156.88</v>
          </cell>
          <cell r="D98">
            <v>162.21</v>
          </cell>
          <cell r="E98">
            <v>163.35</v>
          </cell>
          <cell r="F98">
            <v>163.35</v>
          </cell>
          <cell r="G98">
            <v>163.35</v>
          </cell>
          <cell r="H98">
            <v>163.35</v>
          </cell>
          <cell r="I98">
            <v>163.35</v>
          </cell>
          <cell r="J98">
            <v>163.35</v>
          </cell>
          <cell r="K98">
            <v>163.35</v>
          </cell>
          <cell r="L98">
            <v>163.35</v>
          </cell>
          <cell r="M98">
            <v>163.35</v>
          </cell>
          <cell r="N98">
            <v>163.35</v>
          </cell>
          <cell r="O98">
            <v>163.35</v>
          </cell>
        </row>
        <row r="99">
          <cell r="A99" t="str">
            <v>Echelon aux. B4</v>
          </cell>
          <cell r="C99">
            <v>331.2</v>
          </cell>
          <cell r="D99">
            <v>342.46</v>
          </cell>
          <cell r="E99">
            <v>344.86</v>
          </cell>
          <cell r="F99">
            <v>344.86</v>
          </cell>
          <cell r="G99">
            <v>344.86</v>
          </cell>
          <cell r="H99">
            <v>344.86</v>
          </cell>
          <cell r="I99">
            <v>344.86</v>
          </cell>
          <cell r="J99">
            <v>344.86</v>
          </cell>
          <cell r="K99">
            <v>344.86</v>
          </cell>
          <cell r="L99">
            <v>344.86</v>
          </cell>
          <cell r="M99">
            <v>344.86</v>
          </cell>
          <cell r="N99">
            <v>344.86</v>
          </cell>
          <cell r="O99">
            <v>344.86</v>
          </cell>
        </row>
        <row r="100">
          <cell r="A100" t="str">
            <v>Echelon aux. B5</v>
          </cell>
          <cell r="C100">
            <v>175.17</v>
          </cell>
          <cell r="D100">
            <v>181.13</v>
          </cell>
          <cell r="E100">
            <v>182.4</v>
          </cell>
          <cell r="F100">
            <v>182.4</v>
          </cell>
          <cell r="G100">
            <v>182.4</v>
          </cell>
          <cell r="H100">
            <v>182.4</v>
          </cell>
          <cell r="I100">
            <v>182.4</v>
          </cell>
          <cell r="J100">
            <v>182.4</v>
          </cell>
          <cell r="K100">
            <v>182.4</v>
          </cell>
          <cell r="L100">
            <v>182.4</v>
          </cell>
          <cell r="M100">
            <v>182.4</v>
          </cell>
          <cell r="N100">
            <v>182.4</v>
          </cell>
          <cell r="O100">
            <v>182.4</v>
          </cell>
        </row>
        <row r="101">
          <cell r="A101" t="str">
            <v>Echelon aux. C6</v>
          </cell>
          <cell r="C101">
            <v>148.79</v>
          </cell>
          <cell r="D101">
            <v>153.85</v>
          </cell>
          <cell r="E101">
            <v>154.93</v>
          </cell>
          <cell r="F101">
            <v>154.93</v>
          </cell>
          <cell r="G101">
            <v>154.93</v>
          </cell>
          <cell r="H101">
            <v>154.93</v>
          </cell>
          <cell r="I101">
            <v>154.93</v>
          </cell>
          <cell r="J101">
            <v>154.93</v>
          </cell>
          <cell r="K101">
            <v>154.93</v>
          </cell>
          <cell r="L101">
            <v>154.93</v>
          </cell>
          <cell r="M101">
            <v>154.93</v>
          </cell>
          <cell r="N101">
            <v>154.93</v>
          </cell>
          <cell r="O101">
            <v>154.93</v>
          </cell>
        </row>
        <row r="102">
          <cell r="A102" t="str">
            <v>Echelon aux. C7</v>
          </cell>
          <cell r="C102">
            <v>76.97</v>
          </cell>
          <cell r="D102">
            <v>79.59</v>
          </cell>
          <cell r="E102">
            <v>80.15</v>
          </cell>
          <cell r="F102">
            <v>80.15</v>
          </cell>
          <cell r="G102">
            <v>80.15</v>
          </cell>
          <cell r="H102">
            <v>80.15</v>
          </cell>
          <cell r="I102">
            <v>80.15</v>
          </cell>
          <cell r="J102">
            <v>80.15</v>
          </cell>
          <cell r="K102">
            <v>80.15</v>
          </cell>
          <cell r="L102">
            <v>80.15</v>
          </cell>
          <cell r="M102">
            <v>80.15</v>
          </cell>
          <cell r="N102">
            <v>80.15</v>
          </cell>
          <cell r="O102">
            <v>80.15</v>
          </cell>
        </row>
        <row r="103">
          <cell r="A103" t="str">
            <v>Echelon aux. D8</v>
          </cell>
          <cell r="C103">
            <v>120.42</v>
          </cell>
          <cell r="D103">
            <v>124.51</v>
          </cell>
          <cell r="E103">
            <v>125.38</v>
          </cell>
          <cell r="F103">
            <v>125.38</v>
          </cell>
          <cell r="G103">
            <v>125.38</v>
          </cell>
          <cell r="H103">
            <v>125.38</v>
          </cell>
          <cell r="I103">
            <v>125.38</v>
          </cell>
          <cell r="J103">
            <v>125.38</v>
          </cell>
          <cell r="K103">
            <v>125.38</v>
          </cell>
          <cell r="L103">
            <v>125.38</v>
          </cell>
          <cell r="M103">
            <v>125.38</v>
          </cell>
          <cell r="N103">
            <v>125.38</v>
          </cell>
          <cell r="O103">
            <v>125.38</v>
          </cell>
        </row>
        <row r="104">
          <cell r="A104" t="str">
            <v>Echelon aux. D9</v>
          </cell>
          <cell r="C104">
            <v>27.43</v>
          </cell>
          <cell r="D104">
            <v>28.36</v>
          </cell>
          <cell r="E104">
            <v>28.56</v>
          </cell>
          <cell r="F104">
            <v>28.56</v>
          </cell>
          <cell r="G104">
            <v>28.56</v>
          </cell>
          <cell r="H104">
            <v>28.56</v>
          </cell>
          <cell r="I104">
            <v>28.56</v>
          </cell>
          <cell r="J104">
            <v>28.56</v>
          </cell>
          <cell r="K104">
            <v>28.56</v>
          </cell>
          <cell r="L104">
            <v>28.56</v>
          </cell>
          <cell r="M104">
            <v>28.56</v>
          </cell>
          <cell r="N104">
            <v>28.56</v>
          </cell>
          <cell r="O104">
            <v>28.56</v>
          </cell>
        </row>
        <row r="105">
          <cell r="A105" t="str">
            <v>%CCFoncYearN</v>
          </cell>
          <cell r="D105">
            <v>0.8</v>
          </cell>
          <cell r="E105">
            <v>0.8</v>
          </cell>
          <cell r="F105">
            <v>0.6</v>
          </cell>
          <cell r="G105">
            <v>0.4</v>
          </cell>
          <cell r="H105">
            <v>0.2</v>
          </cell>
          <cell r="I105">
            <v>0</v>
          </cell>
        </row>
        <row r="106">
          <cell r="A106" t="str">
            <v>%CCFoncYearN1</v>
          </cell>
          <cell r="D106">
            <v>0.6</v>
          </cell>
          <cell r="E106">
            <v>0.6</v>
          </cell>
          <cell r="F106">
            <v>0.4</v>
          </cell>
          <cell r="G106">
            <v>0.2</v>
          </cell>
          <cell r="H106">
            <v>0</v>
          </cell>
          <cell r="I106">
            <v>0</v>
          </cell>
        </row>
        <row r="107">
          <cell r="A107" t="str">
            <v>%CCPnsYearN</v>
          </cell>
          <cell r="D107">
            <v>0.2</v>
          </cell>
          <cell r="E107">
            <v>0.2</v>
          </cell>
          <cell r="F107">
            <v>0.4</v>
          </cell>
          <cell r="G107">
            <v>0.6</v>
          </cell>
          <cell r="H107">
            <v>0.8</v>
          </cell>
          <cell r="I107">
            <v>1</v>
          </cell>
        </row>
        <row r="108">
          <cell r="A108" t="str">
            <v>%CCPnsYearN1</v>
          </cell>
          <cell r="D108">
            <v>0.4</v>
          </cell>
          <cell r="E108">
            <v>0.4</v>
          </cell>
          <cell r="F108">
            <v>0.6</v>
          </cell>
          <cell r="G108">
            <v>0.8</v>
          </cell>
          <cell r="H108">
            <v>1</v>
          </cell>
          <cell r="I10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Input"/>
      <sheetName val="Result"/>
      <sheetName val="Summary"/>
      <sheetName val="IntCalcs"/>
      <sheetName val="parameters"/>
      <sheetName val="Thresholds incomes partners"/>
      <sheetName val="Param_Calculette"/>
      <sheetName val="database"/>
      <sheetName val="TradInput"/>
      <sheetName val="TradResult"/>
    </sheetNames>
    <sheetDataSet>
      <sheetData sheetId="1">
        <row r="11">
          <cell r="G11">
            <v>13441.36</v>
          </cell>
        </row>
        <row r="20">
          <cell r="D20">
            <v>1</v>
          </cell>
        </row>
      </sheetData>
      <sheetData sheetId="4">
        <row r="4">
          <cell r="C4">
            <v>0.16</v>
          </cell>
          <cell r="D4">
            <v>521.66</v>
          </cell>
          <cell r="E4" t="str">
            <v>C1</v>
          </cell>
          <cell r="F4">
            <v>208.65</v>
          </cell>
          <cell r="L4" t="str">
            <v>BE</v>
          </cell>
          <cell r="M4">
            <v>100</v>
          </cell>
          <cell r="N4">
            <v>100</v>
          </cell>
        </row>
        <row r="5">
          <cell r="C5">
            <v>0.02</v>
          </cell>
          <cell r="D5">
            <v>176.01</v>
          </cell>
          <cell r="E5" t="str">
            <v>C2</v>
          </cell>
          <cell r="F5">
            <v>208.65</v>
          </cell>
          <cell r="L5" t="str">
            <v>LU</v>
          </cell>
          <cell r="M5">
            <v>100</v>
          </cell>
          <cell r="N5">
            <v>100</v>
          </cell>
        </row>
        <row r="6">
          <cell r="D6">
            <v>384.6</v>
          </cell>
          <cell r="E6" t="str">
            <v>C3</v>
          </cell>
          <cell r="F6">
            <v>208.65</v>
          </cell>
          <cell r="L6" t="str">
            <v>BU</v>
          </cell>
          <cell r="M6">
            <v>52.1</v>
          </cell>
          <cell r="N6">
            <v>53.3</v>
          </cell>
        </row>
        <row r="7">
          <cell r="D7">
            <v>260.95</v>
          </cell>
          <cell r="E7" t="str">
            <v>C4</v>
          </cell>
          <cell r="F7">
            <v>136.08</v>
          </cell>
          <cell r="L7" t="str">
            <v>CZ</v>
          </cell>
          <cell r="M7">
            <v>73.4</v>
          </cell>
          <cell r="N7">
            <v>68</v>
          </cell>
        </row>
        <row r="8">
          <cell r="C8">
            <v>0.06</v>
          </cell>
          <cell r="E8" t="str">
            <v>C5</v>
          </cell>
          <cell r="F8">
            <v>136.08</v>
          </cell>
          <cell r="L8" t="str">
            <v>DK</v>
          </cell>
          <cell r="M8">
            <v>131.8</v>
          </cell>
          <cell r="N8">
            <v>129</v>
          </cell>
        </row>
        <row r="9">
          <cell r="C9">
            <v>0.101</v>
          </cell>
          <cell r="L9" t="str">
            <v>DE</v>
          </cell>
          <cell r="M9">
            <v>96.6</v>
          </cell>
          <cell r="N9">
            <v>96</v>
          </cell>
        </row>
        <row r="10">
          <cell r="C10">
            <v>0.017</v>
          </cell>
          <cell r="L10" t="str">
            <v>Bonn</v>
          </cell>
          <cell r="M10">
            <v>93.4</v>
          </cell>
        </row>
        <row r="11">
          <cell r="C11">
            <v>0.001</v>
          </cell>
          <cell r="F11">
            <v>93.95</v>
          </cell>
          <cell r="L11" t="str">
            <v>Karlsruhe</v>
          </cell>
          <cell r="M11">
            <v>93.8</v>
          </cell>
        </row>
        <row r="12">
          <cell r="C12">
            <v>0.0081</v>
          </cell>
          <cell r="F12">
            <v>0</v>
          </cell>
          <cell r="L12" t="str">
            <v>Münich</v>
          </cell>
          <cell r="M12">
            <v>106</v>
          </cell>
        </row>
        <row r="13">
          <cell r="C13">
            <v>1254.77</v>
          </cell>
          <cell r="F13">
            <v>0</v>
          </cell>
          <cell r="L13" t="str">
            <v>EE</v>
          </cell>
          <cell r="M13">
            <v>78</v>
          </cell>
          <cell r="N13">
            <v>79.3</v>
          </cell>
        </row>
        <row r="14">
          <cell r="C14">
            <v>0.005</v>
          </cell>
          <cell r="F14">
            <v>260.95</v>
          </cell>
          <cell r="L14" t="str">
            <v>GR</v>
          </cell>
          <cell r="M14">
            <v>79.9</v>
          </cell>
          <cell r="N14">
            <v>78.7</v>
          </cell>
        </row>
        <row r="15">
          <cell r="C15">
            <v>0.000227</v>
          </cell>
          <cell r="F15">
            <v>521.9</v>
          </cell>
          <cell r="L15" t="str">
            <v>ES</v>
          </cell>
          <cell r="M15">
            <v>90.2</v>
          </cell>
          <cell r="N15">
            <v>89.1</v>
          </cell>
        </row>
        <row r="16">
          <cell r="D16">
            <v>638.81</v>
          </cell>
          <cell r="L16" t="str">
            <v>FR</v>
          </cell>
          <cell r="M16">
            <v>114.6</v>
          </cell>
          <cell r="N16">
            <v>104.7</v>
          </cell>
        </row>
        <row r="17">
          <cell r="L17" t="str">
            <v>IE</v>
          </cell>
          <cell r="M17">
            <v>116.6</v>
          </cell>
          <cell r="N17">
            <v>107.8</v>
          </cell>
        </row>
        <row r="18">
          <cell r="L18" t="str">
            <v>IT</v>
          </cell>
          <cell r="M18">
            <v>99.4</v>
          </cell>
          <cell r="N18">
            <v>96.7</v>
          </cell>
        </row>
        <row r="19">
          <cell r="L19" t="str">
            <v>Varese</v>
          </cell>
          <cell r="M19">
            <v>92.2</v>
          </cell>
        </row>
        <row r="20">
          <cell r="L20" t="str">
            <v>CY</v>
          </cell>
          <cell r="M20">
            <v>77.3</v>
          </cell>
          <cell r="N20">
            <v>83.1</v>
          </cell>
        </row>
        <row r="21">
          <cell r="C21" t="str">
            <v>1</v>
          </cell>
          <cell r="D21" t="str">
            <v>2</v>
          </cell>
          <cell r="E21" t="str">
            <v>3</v>
          </cell>
          <cell r="F21" t="str">
            <v>4</v>
          </cell>
          <cell r="G21" t="str">
            <v>5</v>
          </cell>
          <cell r="H21" t="str">
            <v>6</v>
          </cell>
          <cell r="I21" t="str">
            <v>7</v>
          </cell>
          <cell r="J21" t="str">
            <v>8</v>
          </cell>
          <cell r="L21" t="str">
            <v>LV</v>
          </cell>
          <cell r="M21">
            <v>74.2</v>
          </cell>
          <cell r="N21">
            <v>71.8</v>
          </cell>
        </row>
        <row r="22">
          <cell r="B22">
            <v>16</v>
          </cell>
          <cell r="C22">
            <v>17463.71</v>
          </cell>
          <cell r="D22">
            <v>18197.56</v>
          </cell>
          <cell r="E22">
            <v>18962.24</v>
          </cell>
          <cell r="F22">
            <v>18962.24</v>
          </cell>
          <cell r="G22">
            <v>18962.24</v>
          </cell>
          <cell r="H22">
            <v>18962.24</v>
          </cell>
          <cell r="L22" t="str">
            <v>LT</v>
          </cell>
          <cell r="M22">
            <v>69</v>
          </cell>
          <cell r="N22">
            <v>66.6</v>
          </cell>
        </row>
        <row r="23">
          <cell r="B23">
            <v>15</v>
          </cell>
          <cell r="C23">
            <v>15435</v>
          </cell>
          <cell r="D23">
            <v>16083.6</v>
          </cell>
          <cell r="E23">
            <v>16759.45</v>
          </cell>
          <cell r="F23">
            <v>17225.73</v>
          </cell>
          <cell r="G23">
            <v>17463.71</v>
          </cell>
          <cell r="H23">
            <v>18197.56</v>
          </cell>
          <cell r="L23" t="str">
            <v>HU</v>
          </cell>
          <cell r="M23">
            <v>69</v>
          </cell>
          <cell r="N23">
            <v>62.2</v>
          </cell>
        </row>
        <row r="24">
          <cell r="B24">
            <v>14</v>
          </cell>
          <cell r="C24">
            <v>13641.95</v>
          </cell>
          <cell r="D24">
            <v>14215.21</v>
          </cell>
          <cell r="E24">
            <v>14812.55</v>
          </cell>
          <cell r="F24">
            <v>15224.66</v>
          </cell>
          <cell r="G24">
            <v>15435</v>
          </cell>
          <cell r="H24">
            <v>16083.6</v>
          </cell>
          <cell r="I24">
            <v>16759.45</v>
          </cell>
          <cell r="J24">
            <v>17463.71</v>
          </cell>
          <cell r="L24" t="str">
            <v>MT</v>
          </cell>
          <cell r="M24">
            <v>84.5</v>
          </cell>
          <cell r="N24">
            <v>85.8</v>
          </cell>
        </row>
        <row r="25">
          <cell r="B25">
            <v>13</v>
          </cell>
          <cell r="C25">
            <v>12057.21</v>
          </cell>
          <cell r="D25">
            <v>12563.87</v>
          </cell>
          <cell r="E25">
            <v>13091.82</v>
          </cell>
          <cell r="F25">
            <v>13456.06</v>
          </cell>
          <cell r="G25">
            <v>13641.95</v>
          </cell>
          <cell r="L25" t="str">
            <v>NL</v>
          </cell>
          <cell r="M25">
            <v>107.8</v>
          </cell>
          <cell r="N25">
            <v>104.2</v>
          </cell>
        </row>
        <row r="26">
          <cell r="B26">
            <v>12</v>
          </cell>
          <cell r="C26">
            <v>10656.56</v>
          </cell>
          <cell r="D26">
            <v>11104.36</v>
          </cell>
          <cell r="E26">
            <v>11570.98</v>
          </cell>
          <cell r="F26">
            <v>11892.9</v>
          </cell>
          <cell r="G26">
            <v>12057.21</v>
          </cell>
          <cell r="H26">
            <v>12563.87</v>
          </cell>
          <cell r="I26">
            <v>13091.82</v>
          </cell>
          <cell r="J26">
            <v>13641.95</v>
          </cell>
          <cell r="L26" t="str">
            <v>AT</v>
          </cell>
          <cell r="M26">
            <v>105.9</v>
          </cell>
          <cell r="N26">
            <v>102.4</v>
          </cell>
        </row>
        <row r="27">
          <cell r="B27">
            <v>11</v>
          </cell>
          <cell r="C27">
            <v>9418.62</v>
          </cell>
          <cell r="D27">
            <v>9814.39</v>
          </cell>
          <cell r="E27">
            <v>10226.81</v>
          </cell>
          <cell r="F27">
            <v>10511.34</v>
          </cell>
          <cell r="G27">
            <v>10656.56</v>
          </cell>
          <cell r="H27">
            <v>11104.36</v>
          </cell>
          <cell r="I27">
            <v>11570.98</v>
          </cell>
          <cell r="J27">
            <v>12057.21</v>
          </cell>
          <cell r="L27" t="str">
            <v>PL</v>
          </cell>
          <cell r="M27">
            <v>71.8</v>
          </cell>
          <cell r="N27">
            <v>63.7</v>
          </cell>
        </row>
        <row r="28">
          <cell r="B28">
            <v>10</v>
          </cell>
          <cell r="C28">
            <v>8324.49</v>
          </cell>
          <cell r="D28">
            <v>8674.29</v>
          </cell>
          <cell r="E28">
            <v>9038.8</v>
          </cell>
          <cell r="F28">
            <v>9290.27</v>
          </cell>
          <cell r="G28">
            <v>9418.62</v>
          </cell>
          <cell r="H28">
            <v>9814.39</v>
          </cell>
          <cell r="I28">
            <v>10226.81</v>
          </cell>
          <cell r="J28">
            <v>10656.56</v>
          </cell>
          <cell r="L28" t="str">
            <v>PT</v>
          </cell>
          <cell r="M28">
            <v>79.2</v>
          </cell>
          <cell r="N28">
            <v>79.9</v>
          </cell>
        </row>
        <row r="29">
          <cell r="B29">
            <v>9</v>
          </cell>
          <cell r="C29">
            <v>7357.45</v>
          </cell>
          <cell r="D29">
            <v>7666.63</v>
          </cell>
          <cell r="E29">
            <v>7988.79</v>
          </cell>
          <cell r="F29">
            <v>8211.05</v>
          </cell>
          <cell r="G29">
            <v>8324.49</v>
          </cell>
          <cell r="L29" t="str">
            <v>RO</v>
          </cell>
          <cell r="M29">
            <v>64.8</v>
          </cell>
          <cell r="N29">
            <v>58.4</v>
          </cell>
        </row>
        <row r="30">
          <cell r="B30">
            <v>8</v>
          </cell>
          <cell r="C30">
            <v>6502.76</v>
          </cell>
          <cell r="D30">
            <v>6776.01</v>
          </cell>
          <cell r="E30">
            <v>7060.75</v>
          </cell>
          <cell r="F30">
            <v>7257.19</v>
          </cell>
          <cell r="G30">
            <v>7357.45</v>
          </cell>
          <cell r="H30">
            <v>7666.63</v>
          </cell>
          <cell r="I30">
            <v>7988.79</v>
          </cell>
          <cell r="J30">
            <v>8324.49</v>
          </cell>
          <cell r="L30" t="str">
            <v>SI</v>
          </cell>
          <cell r="M30">
            <v>81.2</v>
          </cell>
          <cell r="N30">
            <v>78</v>
          </cell>
        </row>
        <row r="31">
          <cell r="B31">
            <v>7</v>
          </cell>
          <cell r="C31">
            <v>5747.35</v>
          </cell>
          <cell r="D31">
            <v>5988.86</v>
          </cell>
          <cell r="E31">
            <v>6240.52</v>
          </cell>
          <cell r="F31">
            <v>6414.14</v>
          </cell>
          <cell r="G31">
            <v>6502.76</v>
          </cell>
          <cell r="H31">
            <v>6776.01</v>
          </cell>
          <cell r="I31">
            <v>7060.75</v>
          </cell>
          <cell r="J31">
            <v>7357.45</v>
          </cell>
          <cell r="L31" t="str">
            <v>SK</v>
          </cell>
          <cell r="M31">
            <v>76.4</v>
          </cell>
          <cell r="N31">
            <v>69.9</v>
          </cell>
        </row>
        <row r="32">
          <cell r="B32">
            <v>6</v>
          </cell>
          <cell r="C32">
            <v>5079.7</v>
          </cell>
          <cell r="D32">
            <v>5293.16</v>
          </cell>
          <cell r="E32">
            <v>5515.58</v>
          </cell>
          <cell r="F32">
            <v>5669.03</v>
          </cell>
          <cell r="G32">
            <v>5747.35</v>
          </cell>
          <cell r="H32">
            <v>5988.86</v>
          </cell>
          <cell r="I32">
            <v>6240.52</v>
          </cell>
          <cell r="J32">
            <v>6502.76</v>
          </cell>
          <cell r="L32" t="str">
            <v>FI</v>
          </cell>
          <cell r="M32">
            <v>119.7</v>
          </cell>
          <cell r="N32">
            <v>113.3</v>
          </cell>
        </row>
        <row r="33">
          <cell r="B33">
            <v>5</v>
          </cell>
          <cell r="C33">
            <v>4489.61</v>
          </cell>
          <cell r="D33">
            <v>4678.27</v>
          </cell>
          <cell r="E33">
            <v>4874.85</v>
          </cell>
          <cell r="F33">
            <v>5010.47</v>
          </cell>
          <cell r="G33">
            <v>5079.7</v>
          </cell>
          <cell r="H33">
            <v>5293.16</v>
          </cell>
          <cell r="I33">
            <v>5515.58</v>
          </cell>
          <cell r="J33">
            <v>5747.35</v>
          </cell>
          <cell r="L33" t="str">
            <v>SE</v>
          </cell>
          <cell r="M33">
            <v>127.9</v>
          </cell>
          <cell r="N33">
            <v>116.5</v>
          </cell>
        </row>
        <row r="34">
          <cell r="B34">
            <v>4</v>
          </cell>
          <cell r="C34">
            <v>3968.06</v>
          </cell>
          <cell r="D34">
            <v>4134.8</v>
          </cell>
          <cell r="E34">
            <v>4308.55</v>
          </cell>
          <cell r="F34">
            <v>4428.42</v>
          </cell>
          <cell r="G34">
            <v>4489.61</v>
          </cell>
          <cell r="H34">
            <v>4678.27</v>
          </cell>
          <cell r="I34">
            <v>4874.85</v>
          </cell>
          <cell r="J34">
            <v>5079.7</v>
          </cell>
          <cell r="L34" t="str">
            <v>UK</v>
          </cell>
          <cell r="M34">
            <v>166.9</v>
          </cell>
          <cell r="N34">
            <v>134.7</v>
          </cell>
        </row>
        <row r="35">
          <cell r="B35">
            <v>3</v>
          </cell>
          <cell r="C35">
            <v>3507.1</v>
          </cell>
          <cell r="D35">
            <v>3654.47</v>
          </cell>
          <cell r="E35">
            <v>3808.04</v>
          </cell>
          <cell r="F35">
            <v>3913.98</v>
          </cell>
          <cell r="G35">
            <v>3968.06</v>
          </cell>
          <cell r="H35">
            <v>4134.8</v>
          </cell>
          <cell r="I35">
            <v>4308.55</v>
          </cell>
          <cell r="J35">
            <v>4489.61</v>
          </cell>
          <cell r="L35" t="str">
            <v>HR</v>
          </cell>
          <cell r="M35">
            <v>74.6</v>
          </cell>
          <cell r="N35">
            <v>69.8</v>
          </cell>
        </row>
        <row r="36">
          <cell r="B36">
            <v>2</v>
          </cell>
          <cell r="C36">
            <v>3099.69</v>
          </cell>
          <cell r="D36">
            <v>3229.94</v>
          </cell>
          <cell r="E36">
            <v>3365.67</v>
          </cell>
          <cell r="F36">
            <v>3459.31</v>
          </cell>
          <cell r="G36">
            <v>3507.1</v>
          </cell>
          <cell r="H36">
            <v>3654.47</v>
          </cell>
          <cell r="I36">
            <v>3808.04</v>
          </cell>
          <cell r="J36">
            <v>3968.06</v>
          </cell>
          <cell r="L36" t="str">
            <v>Culham</v>
          </cell>
          <cell r="M36">
            <v>127.7</v>
          </cell>
        </row>
        <row r="37">
          <cell r="B37">
            <v>1</v>
          </cell>
          <cell r="C37">
            <v>2739.61</v>
          </cell>
          <cell r="D37">
            <v>2854.73</v>
          </cell>
          <cell r="E37">
            <v>2974.69</v>
          </cell>
          <cell r="F37">
            <v>3057.45</v>
          </cell>
          <cell r="G37">
            <v>3099.69</v>
          </cell>
        </row>
        <row r="40">
          <cell r="C40">
            <v>1</v>
          </cell>
          <cell r="D40">
            <v>2</v>
          </cell>
          <cell r="E40">
            <v>3</v>
          </cell>
          <cell r="F40">
            <v>4</v>
          </cell>
          <cell r="G40">
            <v>5</v>
          </cell>
          <cell r="H40">
            <v>6</v>
          </cell>
          <cell r="I40">
            <v>7</v>
          </cell>
          <cell r="J40">
            <v>8</v>
          </cell>
        </row>
        <row r="41">
          <cell r="B41" t="str">
            <v>A1</v>
          </cell>
          <cell r="C41">
            <v>14982.77</v>
          </cell>
          <cell r="D41">
            <v>15778.66</v>
          </cell>
          <cell r="E41">
            <v>16574.56</v>
          </cell>
          <cell r="F41">
            <v>17370.45</v>
          </cell>
          <cell r="G41">
            <v>18166.34</v>
          </cell>
          <cell r="H41">
            <v>18962.24</v>
          </cell>
        </row>
        <row r="42">
          <cell r="B42" t="str">
            <v>A2</v>
          </cell>
          <cell r="C42">
            <v>13295.98</v>
          </cell>
          <cell r="D42">
            <v>14055.46</v>
          </cell>
          <cell r="E42">
            <v>14814.94</v>
          </cell>
          <cell r="F42">
            <v>15574.42</v>
          </cell>
          <cell r="G42">
            <v>16333.9</v>
          </cell>
          <cell r="H42">
            <v>17093.38</v>
          </cell>
        </row>
        <row r="43">
          <cell r="B43" t="str">
            <v>A3</v>
          </cell>
          <cell r="C43">
            <v>11011.48</v>
          </cell>
          <cell r="D43">
            <v>11675.8</v>
          </cell>
          <cell r="E43">
            <v>12340.11</v>
          </cell>
          <cell r="F43">
            <v>13004.43</v>
          </cell>
          <cell r="G43">
            <v>13668.76</v>
          </cell>
          <cell r="H43">
            <v>14333.08</v>
          </cell>
          <cell r="I43">
            <v>14997.38</v>
          </cell>
          <cell r="J43">
            <v>15661.71</v>
          </cell>
          <cell r="L43" t="str">
            <v>A1</v>
          </cell>
          <cell r="M43">
            <v>16</v>
          </cell>
        </row>
        <row r="44">
          <cell r="B44" t="str">
            <v>A4</v>
          </cell>
          <cell r="C44">
            <v>9250.82</v>
          </cell>
          <cell r="D44">
            <v>9769.34</v>
          </cell>
          <cell r="E44">
            <v>10287.86</v>
          </cell>
          <cell r="F44">
            <v>10806.37</v>
          </cell>
          <cell r="G44">
            <v>11324.9</v>
          </cell>
          <cell r="H44">
            <v>11843.41</v>
          </cell>
          <cell r="I44">
            <v>12361.93</v>
          </cell>
          <cell r="J44">
            <v>12880.45</v>
          </cell>
          <cell r="L44" t="str">
            <v>A2</v>
          </cell>
          <cell r="M44">
            <v>15</v>
          </cell>
        </row>
        <row r="45">
          <cell r="B45" t="str">
            <v>A5</v>
          </cell>
          <cell r="C45">
            <v>7626.82</v>
          </cell>
          <cell r="D45">
            <v>8078.66</v>
          </cell>
          <cell r="E45">
            <v>8530.49</v>
          </cell>
          <cell r="F45">
            <v>8982.33</v>
          </cell>
          <cell r="G45">
            <v>9434.17</v>
          </cell>
          <cell r="H45">
            <v>9886.01</v>
          </cell>
          <cell r="I45">
            <v>10337.85</v>
          </cell>
          <cell r="J45">
            <v>10789.68</v>
          </cell>
          <cell r="L45" t="str">
            <v>A3</v>
          </cell>
          <cell r="M45">
            <v>14</v>
          </cell>
        </row>
        <row r="46">
          <cell r="B46" t="str">
            <v>A6</v>
          </cell>
          <cell r="C46">
            <v>6591</v>
          </cell>
          <cell r="D46">
            <v>6950.64</v>
          </cell>
          <cell r="E46">
            <v>7310.24</v>
          </cell>
          <cell r="F46">
            <v>7669.86</v>
          </cell>
          <cell r="G46">
            <v>8029.49</v>
          </cell>
          <cell r="H46">
            <v>8389.11</v>
          </cell>
          <cell r="I46">
            <v>8748.73</v>
          </cell>
          <cell r="J46">
            <v>9108.36</v>
          </cell>
          <cell r="M46">
            <v>13</v>
          </cell>
        </row>
        <row r="47">
          <cell r="B47" t="str">
            <v>A7</v>
          </cell>
          <cell r="C47">
            <v>5673.53</v>
          </cell>
          <cell r="D47">
            <v>5955.85</v>
          </cell>
          <cell r="E47">
            <v>6238.16</v>
          </cell>
          <cell r="F47">
            <v>6520.46</v>
          </cell>
          <cell r="G47">
            <v>6802.77</v>
          </cell>
          <cell r="H47">
            <v>7085.09</v>
          </cell>
          <cell r="L47" t="str">
            <v>A4</v>
          </cell>
          <cell r="M47">
            <v>12</v>
          </cell>
        </row>
        <row r="48">
          <cell r="B48" t="str">
            <v>A8</v>
          </cell>
          <cell r="C48">
            <v>5017.73</v>
          </cell>
          <cell r="D48">
            <v>5220.08</v>
          </cell>
          <cell r="L48" t="str">
            <v>A5</v>
          </cell>
          <cell r="M48">
            <v>11</v>
          </cell>
        </row>
        <row r="49">
          <cell r="B49" t="str">
            <v>B1</v>
          </cell>
          <cell r="C49">
            <v>6591</v>
          </cell>
          <cell r="D49">
            <v>6950.64</v>
          </cell>
          <cell r="E49">
            <v>7310.24</v>
          </cell>
          <cell r="F49">
            <v>7669.86</v>
          </cell>
          <cell r="G49">
            <v>8029.49</v>
          </cell>
          <cell r="H49">
            <v>8389.11</v>
          </cell>
          <cell r="I49">
            <v>8748.73</v>
          </cell>
          <cell r="J49">
            <v>9108.36</v>
          </cell>
          <cell r="L49" t="str">
            <v>A6</v>
          </cell>
          <cell r="M49">
            <v>10</v>
          </cell>
        </row>
        <row r="50">
          <cell r="B50" t="str">
            <v>B2</v>
          </cell>
          <cell r="C50">
            <v>5710.6</v>
          </cell>
          <cell r="D50">
            <v>5978.33</v>
          </cell>
          <cell r="E50">
            <v>6246.05</v>
          </cell>
          <cell r="F50">
            <v>6513.78</v>
          </cell>
          <cell r="G50">
            <v>6781.49</v>
          </cell>
          <cell r="H50">
            <v>7049.23</v>
          </cell>
          <cell r="I50">
            <v>7316.95</v>
          </cell>
          <cell r="J50">
            <v>7584.68</v>
          </cell>
          <cell r="M50">
            <v>9</v>
          </cell>
        </row>
        <row r="51">
          <cell r="B51" t="str">
            <v>B3</v>
          </cell>
          <cell r="C51">
            <v>4790.02</v>
          </cell>
          <cell r="D51">
            <v>5012.61</v>
          </cell>
          <cell r="E51">
            <v>5235.23</v>
          </cell>
          <cell r="F51">
            <v>5457.84</v>
          </cell>
          <cell r="G51">
            <v>5680.47</v>
          </cell>
          <cell r="H51">
            <v>5903.08</v>
          </cell>
          <cell r="I51">
            <v>6125.69</v>
          </cell>
          <cell r="J51">
            <v>6348.3</v>
          </cell>
          <cell r="L51" t="str">
            <v>A7</v>
          </cell>
          <cell r="M51">
            <v>8</v>
          </cell>
        </row>
        <row r="52">
          <cell r="B52" t="str">
            <v>B4</v>
          </cell>
          <cell r="C52">
            <v>4142.93</v>
          </cell>
          <cell r="D52">
            <v>4335.99</v>
          </cell>
          <cell r="E52">
            <v>4529.06</v>
          </cell>
          <cell r="F52">
            <v>4722.11</v>
          </cell>
          <cell r="G52">
            <v>4915.19</v>
          </cell>
          <cell r="H52">
            <v>5108.24</v>
          </cell>
          <cell r="I52">
            <v>5301.32</v>
          </cell>
          <cell r="J52">
            <v>5494.38</v>
          </cell>
          <cell r="L52" t="str">
            <v>A8</v>
          </cell>
          <cell r="M52">
            <v>7</v>
          </cell>
        </row>
        <row r="53">
          <cell r="B53" t="str">
            <v>B5</v>
          </cell>
          <cell r="C53">
            <v>3703.24</v>
          </cell>
          <cell r="D53">
            <v>3859.48</v>
          </cell>
          <cell r="E53">
            <v>4015.72</v>
          </cell>
          <cell r="F53">
            <v>4171.94</v>
          </cell>
          <cell r="L53" t="str">
            <v>B1</v>
          </cell>
          <cell r="M53">
            <v>10</v>
          </cell>
        </row>
        <row r="54">
          <cell r="B54" t="str">
            <v>C1</v>
          </cell>
          <cell r="C54">
            <v>4225.63</v>
          </cell>
          <cell r="D54">
            <v>4396.02</v>
          </cell>
          <cell r="E54">
            <v>4566.42</v>
          </cell>
          <cell r="F54">
            <v>4736.81</v>
          </cell>
          <cell r="G54">
            <v>4907.22</v>
          </cell>
          <cell r="H54">
            <v>5077.61</v>
          </cell>
          <cell r="I54">
            <v>5248.01</v>
          </cell>
          <cell r="J54">
            <v>5418.4</v>
          </cell>
          <cell r="M54">
            <v>9</v>
          </cell>
        </row>
        <row r="55">
          <cell r="B55" t="str">
            <v>C2</v>
          </cell>
          <cell r="C55">
            <v>3675.4</v>
          </cell>
          <cell r="D55">
            <v>3831.56</v>
          </cell>
          <cell r="E55">
            <v>3987.71</v>
          </cell>
          <cell r="F55">
            <v>4143.85</v>
          </cell>
          <cell r="G55">
            <v>4300.01</v>
          </cell>
          <cell r="H55">
            <v>4456.17</v>
          </cell>
          <cell r="I55">
            <v>4612.32</v>
          </cell>
          <cell r="J55">
            <v>4768.48</v>
          </cell>
          <cell r="L55" t="str">
            <v>B2</v>
          </cell>
          <cell r="M55">
            <v>8</v>
          </cell>
        </row>
        <row r="56">
          <cell r="B56" t="str">
            <v>C3</v>
          </cell>
          <cell r="C56">
            <v>3428.45</v>
          </cell>
          <cell r="D56">
            <v>3562.24</v>
          </cell>
          <cell r="E56">
            <v>3696.02</v>
          </cell>
          <cell r="F56">
            <v>3829.8</v>
          </cell>
          <cell r="G56">
            <v>3963.58</v>
          </cell>
          <cell r="H56">
            <v>4097.36</v>
          </cell>
          <cell r="I56">
            <v>4231.15</v>
          </cell>
          <cell r="J56">
            <v>4364.91</v>
          </cell>
          <cell r="L56" t="str">
            <v>B3</v>
          </cell>
          <cell r="M56">
            <v>7</v>
          </cell>
        </row>
        <row r="57">
          <cell r="B57" t="str">
            <v>C4</v>
          </cell>
          <cell r="C57">
            <v>3097.88</v>
          </cell>
          <cell r="D57">
            <v>3223.36</v>
          </cell>
          <cell r="E57">
            <v>3348.85</v>
          </cell>
          <cell r="F57">
            <v>3474.33</v>
          </cell>
          <cell r="G57">
            <v>3599.82</v>
          </cell>
          <cell r="H57">
            <v>3725.3</v>
          </cell>
          <cell r="I57">
            <v>3850.79</v>
          </cell>
          <cell r="J57">
            <v>3976.28</v>
          </cell>
          <cell r="L57" t="str">
            <v>B4</v>
          </cell>
          <cell r="M57">
            <v>6</v>
          </cell>
        </row>
        <row r="58">
          <cell r="B58" t="str">
            <v>C5</v>
          </cell>
          <cell r="C58">
            <v>2856.43</v>
          </cell>
          <cell r="D58">
            <v>2973.47</v>
          </cell>
          <cell r="E58">
            <v>3090.52</v>
          </cell>
          <cell r="F58">
            <v>3207.57</v>
          </cell>
          <cell r="L58" t="str">
            <v>B5</v>
          </cell>
          <cell r="M58">
            <v>5</v>
          </cell>
        </row>
        <row r="59">
          <cell r="B59" t="str">
            <v>D1</v>
          </cell>
          <cell r="C59">
            <v>3228.19</v>
          </cell>
          <cell r="D59">
            <v>3369.34</v>
          </cell>
          <cell r="E59">
            <v>3510.48</v>
          </cell>
          <cell r="F59">
            <v>3651.62</v>
          </cell>
          <cell r="G59">
            <v>3792.77</v>
          </cell>
          <cell r="H59">
            <v>3933.92</v>
          </cell>
          <cell r="I59">
            <v>4075.06</v>
          </cell>
          <cell r="J59">
            <v>4216.2</v>
          </cell>
          <cell r="L59" t="str">
            <v>C1</v>
          </cell>
          <cell r="M59">
            <v>6</v>
          </cell>
        </row>
        <row r="60">
          <cell r="B60" t="str">
            <v>D2</v>
          </cell>
          <cell r="C60">
            <v>2943.49</v>
          </cell>
          <cell r="D60">
            <v>3068.86</v>
          </cell>
          <cell r="E60">
            <v>3194.23</v>
          </cell>
          <cell r="F60">
            <v>3319.59</v>
          </cell>
          <cell r="G60">
            <v>3444.96</v>
          </cell>
          <cell r="H60">
            <v>3570.33</v>
          </cell>
          <cell r="I60">
            <v>3695.7</v>
          </cell>
          <cell r="J60">
            <v>3821.07</v>
          </cell>
          <cell r="L60" t="str">
            <v>C2</v>
          </cell>
          <cell r="M60">
            <v>5</v>
          </cell>
        </row>
        <row r="61">
          <cell r="B61" t="str">
            <v>D3</v>
          </cell>
          <cell r="C61">
            <v>2739.61</v>
          </cell>
          <cell r="D61">
            <v>2856.86</v>
          </cell>
          <cell r="E61">
            <v>2974.12</v>
          </cell>
          <cell r="F61">
            <v>3091.35</v>
          </cell>
          <cell r="G61">
            <v>3208.61</v>
          </cell>
          <cell r="H61">
            <v>3325.86</v>
          </cell>
          <cell r="I61">
            <v>3443.12</v>
          </cell>
          <cell r="J61">
            <v>3560.36</v>
          </cell>
          <cell r="L61" t="str">
            <v>C3</v>
          </cell>
          <cell r="M61">
            <v>4</v>
          </cell>
        </row>
        <row r="62">
          <cell r="B62" t="str">
            <v>D4</v>
          </cell>
          <cell r="L62" t="str">
            <v>C4</v>
          </cell>
          <cell r="M62">
            <v>3</v>
          </cell>
        </row>
        <row r="63">
          <cell r="L63" t="str">
            <v>C5</v>
          </cell>
          <cell r="M63">
            <v>2</v>
          </cell>
        </row>
        <row r="64">
          <cell r="L64" t="str">
            <v>D1</v>
          </cell>
          <cell r="M64">
            <v>4</v>
          </cell>
        </row>
        <row r="65">
          <cell r="L65" t="str">
            <v>D2</v>
          </cell>
          <cell r="M65">
            <v>3</v>
          </cell>
        </row>
        <row r="66">
          <cell r="L66" t="str">
            <v>D3</v>
          </cell>
          <cell r="M66">
            <v>2</v>
          </cell>
        </row>
        <row r="68">
          <cell r="C68">
            <v>0.01</v>
          </cell>
          <cell r="D68">
            <v>113.38</v>
          </cell>
          <cell r="E68">
            <v>113.38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>
            <v>113.39</v>
          </cell>
          <cell r="D69">
            <v>2001.35</v>
          </cell>
          <cell r="E69">
            <v>1887.97</v>
          </cell>
          <cell r="F69">
            <v>0.08</v>
          </cell>
          <cell r="G69">
            <v>151.0376</v>
          </cell>
          <cell r="H69">
            <v>0.0755</v>
          </cell>
          <cell r="I69">
            <v>151.0376</v>
          </cell>
        </row>
        <row r="70">
          <cell r="C70">
            <v>2001.36</v>
          </cell>
          <cell r="D70">
            <v>2756.6</v>
          </cell>
          <cell r="E70">
            <v>755.25</v>
          </cell>
          <cell r="F70">
            <v>0.1</v>
          </cell>
          <cell r="G70">
            <v>75.525</v>
          </cell>
          <cell r="H70">
            <v>0.0822</v>
          </cell>
          <cell r="I70">
            <v>226.5626</v>
          </cell>
        </row>
        <row r="71">
          <cell r="C71">
            <v>2756.61</v>
          </cell>
          <cell r="D71">
            <v>3159.2</v>
          </cell>
          <cell r="E71">
            <v>402.6</v>
          </cell>
          <cell r="F71">
            <v>0.125</v>
          </cell>
          <cell r="G71">
            <v>50.325</v>
          </cell>
          <cell r="H71">
            <v>0.0876</v>
          </cell>
          <cell r="I71">
            <v>276.8876</v>
          </cell>
        </row>
        <row r="72">
          <cell r="C72">
            <v>3159.21</v>
          </cell>
          <cell r="D72">
            <v>3587.3</v>
          </cell>
          <cell r="E72">
            <v>428.1</v>
          </cell>
          <cell r="F72">
            <v>0.15</v>
          </cell>
          <cell r="G72">
            <v>64.215</v>
          </cell>
          <cell r="H72">
            <v>0.0951</v>
          </cell>
          <cell r="I72">
            <v>341.1026</v>
          </cell>
        </row>
        <row r="73">
          <cell r="C73">
            <v>3587.31</v>
          </cell>
          <cell r="D73">
            <v>3989.9</v>
          </cell>
          <cell r="E73">
            <v>402.6</v>
          </cell>
          <cell r="F73">
            <v>0.175</v>
          </cell>
          <cell r="G73">
            <v>70.455</v>
          </cell>
          <cell r="H73">
            <v>0.1031</v>
          </cell>
          <cell r="I73">
            <v>411.5576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3989.91</v>
          </cell>
          <cell r="D74">
            <v>4380.19</v>
          </cell>
          <cell r="E74">
            <v>390.29</v>
          </cell>
          <cell r="F74">
            <v>0.2</v>
          </cell>
          <cell r="G74">
            <v>78.058</v>
          </cell>
          <cell r="H74">
            <v>0.1118</v>
          </cell>
          <cell r="I74">
            <v>489.6156</v>
          </cell>
          <cell r="L74">
            <v>200</v>
          </cell>
          <cell r="M74">
            <v>0</v>
          </cell>
          <cell r="N74">
            <v>0.3912</v>
          </cell>
        </row>
        <row r="75">
          <cell r="C75">
            <v>4380.2</v>
          </cell>
          <cell r="D75">
            <v>4782.95</v>
          </cell>
          <cell r="E75">
            <v>402.76</v>
          </cell>
          <cell r="F75">
            <v>0.225</v>
          </cell>
          <cell r="G75">
            <v>90.621</v>
          </cell>
          <cell r="H75">
            <v>0.1213</v>
          </cell>
          <cell r="I75">
            <v>580.2366</v>
          </cell>
          <cell r="L75">
            <v>1000</v>
          </cell>
          <cell r="M75">
            <v>312.96</v>
          </cell>
          <cell r="N75">
            <v>0.652</v>
          </cell>
        </row>
        <row r="76">
          <cell r="C76">
            <v>4782.96</v>
          </cell>
          <cell r="D76">
            <v>5173.25</v>
          </cell>
          <cell r="E76">
            <v>390.3</v>
          </cell>
          <cell r="F76">
            <v>0.25</v>
          </cell>
          <cell r="G76">
            <v>97.575</v>
          </cell>
          <cell r="H76">
            <v>0.131</v>
          </cell>
          <cell r="I76">
            <v>677.8116</v>
          </cell>
          <cell r="L76">
            <v>2000</v>
          </cell>
          <cell r="M76">
            <v>964.96</v>
          </cell>
          <cell r="N76">
            <v>0.3912</v>
          </cell>
        </row>
        <row r="77">
          <cell r="C77">
            <v>5173.26</v>
          </cell>
          <cell r="D77">
            <v>5575.84</v>
          </cell>
          <cell r="E77">
            <v>402.59</v>
          </cell>
          <cell r="F77">
            <v>0.275</v>
          </cell>
          <cell r="G77">
            <v>110.7123</v>
          </cell>
          <cell r="H77">
            <v>0.1414</v>
          </cell>
          <cell r="I77">
            <v>788.5239</v>
          </cell>
          <cell r="L77">
            <v>3000</v>
          </cell>
          <cell r="M77">
            <v>1356.16</v>
          </cell>
          <cell r="N77">
            <v>0.1303</v>
          </cell>
        </row>
        <row r="78">
          <cell r="C78">
            <v>5575.85</v>
          </cell>
          <cell r="D78">
            <v>5966.14</v>
          </cell>
          <cell r="E78">
            <v>390.3</v>
          </cell>
          <cell r="F78">
            <v>0.3</v>
          </cell>
          <cell r="G78">
            <v>117.09</v>
          </cell>
          <cell r="H78">
            <v>0.1518</v>
          </cell>
          <cell r="I78">
            <v>905.6139</v>
          </cell>
          <cell r="L78">
            <v>4000</v>
          </cell>
          <cell r="M78">
            <v>1486.46</v>
          </cell>
          <cell r="N78">
            <v>0.0629</v>
          </cell>
        </row>
        <row r="79">
          <cell r="C79">
            <v>5966.15</v>
          </cell>
          <cell r="D79">
            <v>6368.9</v>
          </cell>
          <cell r="E79">
            <v>402.76</v>
          </cell>
          <cell r="F79">
            <v>0.325</v>
          </cell>
          <cell r="G79">
            <v>130.897</v>
          </cell>
          <cell r="H79">
            <v>0.1627</v>
          </cell>
          <cell r="I79">
            <v>1036.5109</v>
          </cell>
          <cell r="L79">
            <v>10000</v>
          </cell>
          <cell r="M79">
            <v>1863.86</v>
          </cell>
          <cell r="N79">
            <v>0</v>
          </cell>
        </row>
        <row r="80">
          <cell r="C80">
            <v>6368.91</v>
          </cell>
          <cell r="D80">
            <v>6759.2</v>
          </cell>
          <cell r="E80">
            <v>390.3</v>
          </cell>
          <cell r="F80">
            <v>0.35</v>
          </cell>
          <cell r="G80">
            <v>136.605</v>
          </cell>
          <cell r="H80">
            <v>0.1736</v>
          </cell>
          <cell r="I80">
            <v>1173.1159</v>
          </cell>
        </row>
        <row r="81">
          <cell r="C81">
            <v>6759.21</v>
          </cell>
          <cell r="D81">
            <v>7161.79</v>
          </cell>
          <cell r="E81">
            <v>402.59</v>
          </cell>
          <cell r="F81">
            <v>0.4</v>
          </cell>
          <cell r="G81">
            <v>161.036</v>
          </cell>
          <cell r="H81">
            <v>0.1863</v>
          </cell>
          <cell r="I81">
            <v>1334.1519</v>
          </cell>
        </row>
        <row r="82">
          <cell r="C82">
            <v>7161.8</v>
          </cell>
          <cell r="D82">
            <v>99999.99</v>
          </cell>
          <cell r="E82">
            <v>92838.2</v>
          </cell>
          <cell r="F82">
            <v>0.45</v>
          </cell>
          <cell r="G82">
            <v>41777.19</v>
          </cell>
          <cell r="H82">
            <v>0.4311</v>
          </cell>
          <cell r="I82">
            <v>43111.3419</v>
          </cell>
          <cell r="M82">
            <v>0</v>
          </cell>
          <cell r="N82">
            <v>0</v>
          </cell>
        </row>
        <row r="83">
          <cell r="M83">
            <v>600</v>
          </cell>
          <cell r="N83">
            <v>195.58</v>
          </cell>
        </row>
        <row r="84">
          <cell r="M84">
            <v>1200.01</v>
          </cell>
          <cell r="N84">
            <v>391.13</v>
          </cell>
        </row>
        <row r="86">
          <cell r="D86">
            <v>1</v>
          </cell>
          <cell r="E86">
            <v>2</v>
          </cell>
          <cell r="F86">
            <v>3</v>
          </cell>
          <cell r="G86">
            <v>4</v>
          </cell>
          <cell r="H86">
            <v>5</v>
          </cell>
          <cell r="I86">
            <v>6</v>
          </cell>
          <cell r="J86">
            <v>7</v>
          </cell>
          <cell r="K86">
            <v>8</v>
          </cell>
        </row>
        <row r="87">
          <cell r="C87" t="str">
            <v>A1</v>
          </cell>
          <cell r="D87">
            <v>0.8579377</v>
          </cell>
          <cell r="E87">
            <v>0.867076</v>
          </cell>
          <cell r="F87">
            <v>0.8740822</v>
          </cell>
          <cell r="G87">
            <v>0.9160548</v>
          </cell>
          <cell r="H87">
            <v>0.9580274</v>
          </cell>
          <cell r="I87">
            <v>1</v>
          </cell>
        </row>
        <row r="88">
          <cell r="C88" t="str">
            <v>A2</v>
          </cell>
          <cell r="D88">
            <v>0.8614182</v>
          </cell>
          <cell r="E88">
            <v>0.8739006</v>
          </cell>
          <cell r="F88">
            <v>0.8839749</v>
          </cell>
          <cell r="G88">
            <v>0.904137</v>
          </cell>
          <cell r="H88">
            <v>0.9353053</v>
          </cell>
          <cell r="I88">
            <v>0.9393224</v>
          </cell>
        </row>
        <row r="89">
          <cell r="C89" t="str">
            <v>A3</v>
          </cell>
          <cell r="D89">
            <v>0.8071775</v>
          </cell>
          <cell r="E89">
            <v>0.8213599</v>
          </cell>
          <cell r="F89">
            <v>0.8330849</v>
          </cell>
          <cell r="G89">
            <v>0.8541688</v>
          </cell>
          <cell r="H89">
            <v>0.8855692</v>
          </cell>
          <cell r="I89">
            <v>0.891161</v>
          </cell>
          <cell r="J89">
            <v>0.8948613</v>
          </cell>
          <cell r="K89">
            <v>0.8968148</v>
          </cell>
        </row>
        <row r="90">
          <cell r="C90" t="str">
            <v>A4</v>
          </cell>
          <cell r="D90">
            <v>0.8680864</v>
          </cell>
          <cell r="E90">
            <v>0.8797751</v>
          </cell>
          <cell r="F90">
            <v>0.8891086</v>
          </cell>
          <cell r="G90">
            <v>0.9086411</v>
          </cell>
          <cell r="H90">
            <v>0.9392638</v>
          </cell>
          <cell r="I90">
            <v>0.9426565</v>
          </cell>
          <cell r="J90">
            <v>0.944249</v>
          </cell>
          <cell r="K90">
            <v>0.9441793</v>
          </cell>
        </row>
        <row r="91">
          <cell r="C91" t="str">
            <v>A5</v>
          </cell>
          <cell r="D91">
            <v>0.8097606</v>
          </cell>
          <cell r="E91">
            <v>0.823144</v>
          </cell>
          <cell r="F91">
            <v>0.8341307</v>
          </cell>
          <cell r="G91">
            <v>0.8545377</v>
          </cell>
          <cell r="H91">
            <v>0.8852925</v>
          </cell>
          <cell r="I91">
            <v>0.8902821</v>
          </cell>
          <cell r="J91">
            <v>0.8934288</v>
          </cell>
          <cell r="K91">
            <v>0.8948742</v>
          </cell>
        </row>
        <row r="92">
          <cell r="C92" t="str">
            <v>A6</v>
          </cell>
          <cell r="D92">
            <v>0.7917607</v>
          </cell>
          <cell r="E92">
            <v>0.8012909</v>
          </cell>
          <cell r="F92">
            <v>0.8087633</v>
          </cell>
          <cell r="G92">
            <v>0.8255804</v>
          </cell>
          <cell r="H92">
            <v>0.8525121</v>
          </cell>
          <cell r="I92">
            <v>0.8547756</v>
          </cell>
          <cell r="J92">
            <v>0.8554698</v>
          </cell>
          <cell r="K92">
            <v>0.8547179</v>
          </cell>
        </row>
        <row r="93">
          <cell r="C93" t="str">
            <v>A7</v>
          </cell>
          <cell r="D93">
            <v>0.8724812</v>
          </cell>
          <cell r="E93">
            <v>0.8789606</v>
          </cell>
          <cell r="F93">
            <v>0.883498</v>
          </cell>
          <cell r="G93">
            <v>0.8984832</v>
          </cell>
          <cell r="H93">
            <v>0.9246101</v>
          </cell>
          <cell r="I93">
            <v>0.9241466</v>
          </cell>
        </row>
        <row r="94">
          <cell r="C94" t="str">
            <v>A8</v>
          </cell>
          <cell r="D94">
            <v>0.8730505</v>
          </cell>
          <cell r="E94">
            <v>0.8716311</v>
          </cell>
        </row>
        <row r="95">
          <cell r="C95" t="str">
            <v>B1</v>
          </cell>
          <cell r="D95">
            <v>0.7917607</v>
          </cell>
          <cell r="E95">
            <v>0.8012909</v>
          </cell>
          <cell r="F95">
            <v>0.8087633</v>
          </cell>
          <cell r="G95">
            <v>0.8255804</v>
          </cell>
          <cell r="H95">
            <v>0.8525121</v>
          </cell>
          <cell r="I95">
            <v>0.8547756</v>
          </cell>
          <cell r="J95">
            <v>0.8554698</v>
          </cell>
          <cell r="K95">
            <v>0.8547179</v>
          </cell>
        </row>
        <row r="96">
          <cell r="C96" t="str">
            <v>B2</v>
          </cell>
          <cell r="D96">
            <v>0.878181</v>
          </cell>
          <cell r="E96">
            <v>0.8822781</v>
          </cell>
          <cell r="F96">
            <v>0.884616</v>
          </cell>
          <cell r="G96">
            <v>0.8975611</v>
          </cell>
          <cell r="H96">
            <v>0.9217181</v>
          </cell>
          <cell r="I96">
            <v>0.9194688</v>
          </cell>
          <cell r="J96">
            <v>0.9159029</v>
          </cell>
          <cell r="K96">
            <v>0.911128</v>
          </cell>
        </row>
        <row r="97">
          <cell r="C97" t="str">
            <v>B3</v>
          </cell>
          <cell r="D97">
            <v>0.8334297</v>
          </cell>
          <cell r="E97">
            <v>0.8369898</v>
          </cell>
          <cell r="F97">
            <v>0.8389096</v>
          </cell>
          <cell r="G97">
            <v>0.8509077</v>
          </cell>
          <cell r="H97">
            <v>0.8735465</v>
          </cell>
          <cell r="I97">
            <v>0.8711729</v>
          </cell>
          <cell r="J97">
            <v>0.8675695</v>
          </cell>
          <cell r="K97">
            <v>0.8628394</v>
          </cell>
        </row>
        <row r="98">
          <cell r="C98" t="str">
            <v>B4</v>
          </cell>
          <cell r="D98">
            <v>0.815586</v>
          </cell>
          <cell r="E98">
            <v>0.8191701</v>
          </cell>
          <cell r="F98">
            <v>0.8211393</v>
          </cell>
          <cell r="G98">
            <v>0.8329679</v>
          </cell>
          <cell r="H98">
            <v>0.8552101</v>
          </cell>
          <cell r="I98">
            <v>0.852958</v>
          </cell>
          <cell r="J98">
            <v>0.8494989</v>
          </cell>
          <cell r="K98">
            <v>0.8449312</v>
          </cell>
        </row>
        <row r="99">
          <cell r="C99" t="str">
            <v>B5</v>
          </cell>
          <cell r="D99">
            <v>0.824848</v>
          </cell>
          <cell r="E99">
            <v>0.8249807</v>
          </cell>
          <cell r="F99">
            <v>0.8237611</v>
          </cell>
          <cell r="G99">
            <v>0.8326444</v>
          </cell>
        </row>
        <row r="100">
          <cell r="C100" t="str">
            <v>C1</v>
          </cell>
          <cell r="D100">
            <v>0.8318656</v>
          </cell>
          <cell r="E100">
            <v>0.8305106</v>
          </cell>
          <cell r="F100">
            <v>0.8279127</v>
          </cell>
          <cell r="G100">
            <v>0.8355595</v>
          </cell>
          <cell r="H100">
            <v>0.8538223</v>
          </cell>
          <cell r="I100">
            <v>0.8478411</v>
          </cell>
          <cell r="J100">
            <v>0.8409561</v>
          </cell>
          <cell r="K100">
            <v>0.833247</v>
          </cell>
        </row>
        <row r="101">
          <cell r="C101" t="str">
            <v>C2</v>
          </cell>
          <cell r="D101">
            <v>0.818647</v>
          </cell>
          <cell r="E101">
            <v>0.8190122</v>
          </cell>
          <cell r="F101">
            <v>0.8180164</v>
          </cell>
          <cell r="G101">
            <v>0.8270387</v>
          </cell>
          <cell r="H101">
            <v>0.84651</v>
          </cell>
          <cell r="I101">
            <v>0.8418734</v>
          </cell>
          <cell r="J101">
            <v>0.8362348</v>
          </cell>
          <cell r="K101">
            <v>0.8296824</v>
          </cell>
        </row>
        <row r="102">
          <cell r="C102" t="str">
            <v>C3</v>
          </cell>
          <cell r="D102">
            <v>0.8640121</v>
          </cell>
          <cell r="E102">
            <v>0.861526</v>
          </cell>
          <cell r="F102">
            <v>0.8578323</v>
          </cell>
          <cell r="G102">
            <v>0.8648224</v>
          </cell>
          <cell r="H102">
            <v>0.8828349</v>
          </cell>
          <cell r="I102">
            <v>0.8758292</v>
          </cell>
          <cell r="J102">
            <v>0.8679526</v>
          </cell>
          <cell r="K102">
            <v>0.8592873</v>
          </cell>
        </row>
        <row r="103">
          <cell r="C103" t="str">
            <v>C4</v>
          </cell>
          <cell r="D103">
            <v>0.8833161</v>
          </cell>
          <cell r="E103">
            <v>0.8820317</v>
          </cell>
          <cell r="F103">
            <v>0.8794161</v>
          </cell>
          <cell r="G103">
            <v>0.8876711</v>
          </cell>
          <cell r="H103">
            <v>0.9071977</v>
          </cell>
          <cell r="I103">
            <v>0.9009642</v>
          </cell>
          <cell r="J103">
            <v>0.893755</v>
          </cell>
          <cell r="K103">
            <v>0.8856638</v>
          </cell>
        </row>
        <row r="104">
          <cell r="C104" t="str">
            <v>C5</v>
          </cell>
          <cell r="D104">
            <v>0.9215191</v>
          </cell>
          <cell r="E104">
            <v>0.9205951</v>
          </cell>
          <cell r="F104">
            <v>0.9182489</v>
          </cell>
          <cell r="G104">
            <v>0.9272291</v>
          </cell>
        </row>
        <row r="105">
          <cell r="C105" t="str">
            <v>D1</v>
          </cell>
          <cell r="D105">
            <v>0.8135433</v>
          </cell>
          <cell r="E105">
            <v>0.8148732</v>
          </cell>
          <cell r="F105">
            <v>0.8147699</v>
          </cell>
          <cell r="G105">
            <v>0.8245884</v>
          </cell>
          <cell r="H105">
            <v>0.8447893</v>
          </cell>
          <cell r="I105">
            <v>0.8408918</v>
          </cell>
          <cell r="J105">
            <v>0.8359346</v>
          </cell>
          <cell r="K105">
            <v>0.8300101</v>
          </cell>
        </row>
        <row r="106">
          <cell r="C106" t="str">
            <v>D2</v>
          </cell>
          <cell r="D106">
            <v>0.8392951</v>
          </cell>
          <cell r="E106">
            <v>0.8397537</v>
          </cell>
          <cell r="F106">
            <v>0.8388121</v>
          </cell>
          <cell r="G106">
            <v>0.8481361</v>
          </cell>
          <cell r="H106">
            <v>0.8681718</v>
          </cell>
          <cell r="I106">
            <v>0.8634835</v>
          </cell>
          <cell r="J106">
            <v>0.8577585</v>
          </cell>
          <cell r="K106">
            <v>0.8510926</v>
          </cell>
        </row>
        <row r="107">
          <cell r="C107" t="str">
            <v>D3</v>
          </cell>
          <cell r="D107">
            <v>0.8838333</v>
          </cell>
          <cell r="E107">
            <v>0.8844911</v>
          </cell>
          <cell r="F107">
            <v>0.8836603</v>
          </cell>
          <cell r="G107">
            <v>0.8936346</v>
          </cell>
          <cell r="H107">
            <v>0.9148907</v>
          </cell>
          <cell r="I107">
            <v>0.9100795</v>
          </cell>
          <cell r="J107">
            <v>0.9041702</v>
          </cell>
          <cell r="K107">
            <v>0.8972542</v>
          </cell>
        </row>
      </sheetData>
      <sheetData sheetId="7">
        <row r="2">
          <cell r="A2">
            <v>2</v>
          </cell>
          <cell r="C2" t="str">
            <v>BE</v>
          </cell>
          <cell r="D2" t="b">
            <v>0</v>
          </cell>
          <cell r="E2" t="e">
            <v>#N/A</v>
          </cell>
          <cell r="F2" t="e">
            <v>#N/A</v>
          </cell>
          <cell r="G2" t="b">
            <v>1</v>
          </cell>
          <cell r="H2" t="b">
            <v>0</v>
          </cell>
          <cell r="I2" t="b">
            <v>0</v>
          </cell>
          <cell r="J2" t="b">
            <v>0</v>
          </cell>
          <cell r="K2">
            <v>0</v>
          </cell>
          <cell r="L2" t="e">
            <v>#N/A</v>
          </cell>
          <cell r="M2" t="b">
            <v>1</v>
          </cell>
          <cell r="N2">
            <v>12</v>
          </cell>
          <cell r="O2">
            <v>6</v>
          </cell>
          <cell r="P2">
            <v>1</v>
          </cell>
          <cell r="Q2" t="b">
            <v>0</v>
          </cell>
          <cell r="R2">
            <v>2</v>
          </cell>
          <cell r="S2" t="b">
            <v>0</v>
          </cell>
          <cell r="T2" t="b">
            <v>0</v>
          </cell>
          <cell r="U2">
            <v>0</v>
          </cell>
          <cell r="AA2">
            <v>0</v>
          </cell>
          <cell r="AB2" t="b">
            <v>0</v>
          </cell>
          <cell r="AC2" t="b">
            <v>0</v>
          </cell>
          <cell r="AD2">
            <v>0</v>
          </cell>
          <cell r="AE2">
            <v>0</v>
          </cell>
          <cell r="AF2" t="str">
            <v>BE</v>
          </cell>
          <cell r="AG2">
            <v>0</v>
          </cell>
          <cell r="AH2" t="str">
            <v>IE</v>
          </cell>
          <cell r="AI2">
            <v>0</v>
          </cell>
          <cell r="AJ2">
            <v>0</v>
          </cell>
          <cell r="AK2">
            <v>0</v>
          </cell>
          <cell r="AL2" t="str">
            <v>BE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R2">
            <v>0</v>
          </cell>
          <cell r="AS2">
            <v>1</v>
          </cell>
        </row>
        <row r="3">
          <cell r="AA3">
            <v>0</v>
          </cell>
        </row>
        <row r="4">
          <cell r="AA4">
            <v>0</v>
          </cell>
        </row>
        <row r="5">
          <cell r="A5">
            <v>2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2</v>
          </cell>
          <cell r="I5">
            <v>2</v>
          </cell>
          <cell r="J5">
            <v>2</v>
          </cell>
          <cell r="K5">
            <v>0</v>
          </cell>
          <cell r="M5">
            <v>1</v>
          </cell>
          <cell r="N5">
            <v>5</v>
          </cell>
          <cell r="O5">
            <v>6</v>
          </cell>
          <cell r="Q5">
            <v>2</v>
          </cell>
          <cell r="R5">
            <v>3</v>
          </cell>
          <cell r="S5">
            <v>2</v>
          </cell>
          <cell r="T5">
            <v>2</v>
          </cell>
          <cell r="U5">
            <v>3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2</v>
          </cell>
          <cell r="AC5">
            <v>2</v>
          </cell>
          <cell r="AD5">
            <v>1</v>
          </cell>
          <cell r="AE5">
            <v>1</v>
          </cell>
          <cell r="AF5">
            <v>1</v>
          </cell>
          <cell r="AH5">
            <v>11</v>
          </cell>
          <cell r="AJ5">
            <v>1</v>
          </cell>
          <cell r="AK5">
            <v>1</v>
          </cell>
          <cell r="AL5">
            <v>1</v>
          </cell>
          <cell r="AN5">
            <v>1</v>
          </cell>
          <cell r="AO5">
            <v>1</v>
          </cell>
          <cell r="AP5">
            <v>1</v>
          </cell>
          <cell r="AQ5">
            <v>2</v>
          </cell>
        </row>
        <row r="6">
          <cell r="AA6">
            <v>0</v>
          </cell>
        </row>
        <row r="8">
          <cell r="A8" t="str">
            <v>EN</v>
          </cell>
          <cell r="C8" t="str">
            <v>BE</v>
          </cell>
          <cell r="D8" t="str">
            <v>fonct.</v>
          </cell>
          <cell r="E8" t="e">
            <v>#N/A</v>
          </cell>
          <cell r="F8" t="e">
            <v>#N/A</v>
          </cell>
          <cell r="G8" t="str">
            <v>Yes</v>
          </cell>
          <cell r="H8" t="str">
            <v>Yes</v>
          </cell>
          <cell r="J8" t="str">
            <v>Yes</v>
          </cell>
          <cell r="M8" t="str">
            <v>Yes</v>
          </cell>
          <cell r="N8">
            <v>16</v>
          </cell>
          <cell r="O8">
            <v>1</v>
          </cell>
          <cell r="Q8" t="str">
            <v>Yes</v>
          </cell>
          <cell r="R8">
            <v>0</v>
          </cell>
          <cell r="S8" t="str">
            <v>Yes</v>
          </cell>
          <cell r="T8" t="str">
            <v>Yes</v>
          </cell>
          <cell r="U8">
            <v>0.16</v>
          </cell>
          <cell r="AB8" t="str">
            <v>Yes</v>
          </cell>
          <cell r="AC8" t="str">
            <v>Yes</v>
          </cell>
          <cell r="AD8">
            <v>0</v>
          </cell>
          <cell r="AE8">
            <v>0</v>
          </cell>
          <cell r="AF8" t="str">
            <v>BE</v>
          </cell>
        </row>
        <row r="9">
          <cell r="A9" t="str">
            <v>FR</v>
          </cell>
          <cell r="C9" t="str">
            <v>LU</v>
          </cell>
          <cell r="D9" t="str">
            <v>temp.</v>
          </cell>
          <cell r="E9" t="str">
            <v>A1</v>
          </cell>
          <cell r="F9">
            <v>1</v>
          </cell>
          <cell r="G9" t="str">
            <v>No</v>
          </cell>
          <cell r="H9" t="str">
            <v>No</v>
          </cell>
          <cell r="J9" t="str">
            <v>No</v>
          </cell>
          <cell r="M9" t="str">
            <v>No</v>
          </cell>
          <cell r="N9">
            <v>15</v>
          </cell>
          <cell r="O9">
            <v>2</v>
          </cell>
          <cell r="Q9" t="str">
            <v>No</v>
          </cell>
          <cell r="R9">
            <v>1</v>
          </cell>
          <cell r="S9" t="str">
            <v>No</v>
          </cell>
          <cell r="T9" t="str">
            <v>No</v>
          </cell>
          <cell r="U9">
            <v>0.04</v>
          </cell>
          <cell r="AB9" t="str">
            <v>No</v>
          </cell>
          <cell r="AC9" t="str">
            <v>No</v>
          </cell>
          <cell r="AD9">
            <v>0.1</v>
          </cell>
          <cell r="AE9">
            <v>0.05</v>
          </cell>
          <cell r="AF9" t="str">
            <v>LU</v>
          </cell>
        </row>
        <row r="10">
          <cell r="C10" t="str">
            <v>BU</v>
          </cell>
          <cell r="D10" t="str">
            <v>SC.fonct.</v>
          </cell>
          <cell r="E10" t="str">
            <v>A2</v>
          </cell>
          <cell r="F10">
            <v>2</v>
          </cell>
          <cell r="N10">
            <v>14</v>
          </cell>
          <cell r="O10">
            <v>3</v>
          </cell>
          <cell r="R10">
            <v>2</v>
          </cell>
          <cell r="U10">
            <v>0</v>
          </cell>
          <cell r="AD10">
            <v>0.15</v>
          </cell>
          <cell r="AE10">
            <v>0.1</v>
          </cell>
          <cell r="AF10" t="str">
            <v>BU</v>
          </cell>
        </row>
        <row r="11">
          <cell r="C11" t="str">
            <v>CZ</v>
          </cell>
          <cell r="D11" t="str">
            <v>SC.temp.</v>
          </cell>
          <cell r="E11" t="str">
            <v>A3</v>
          </cell>
          <cell r="F11">
            <v>3</v>
          </cell>
          <cell r="N11">
            <v>13</v>
          </cell>
          <cell r="O11">
            <v>4</v>
          </cell>
          <cell r="R11">
            <v>3</v>
          </cell>
          <cell r="AD11">
            <v>0.2</v>
          </cell>
          <cell r="AE11">
            <v>0.15</v>
          </cell>
          <cell r="AF11" t="str">
            <v>CZ</v>
          </cell>
          <cell r="AS11">
            <v>1</v>
          </cell>
        </row>
        <row r="12">
          <cell r="C12" t="str">
            <v>DK</v>
          </cell>
          <cell r="E12" t="str">
            <v>A4</v>
          </cell>
          <cell r="F12">
            <v>4</v>
          </cell>
          <cell r="N12">
            <v>12</v>
          </cell>
          <cell r="O12">
            <v>5</v>
          </cell>
          <cell r="R12">
            <v>4</v>
          </cell>
          <cell r="AD12">
            <v>0.25</v>
          </cell>
          <cell r="AF12" t="str">
            <v>DK</v>
          </cell>
        </row>
        <row r="13">
          <cell r="C13" t="str">
            <v>DE</v>
          </cell>
          <cell r="E13" t="str">
            <v>A5</v>
          </cell>
          <cell r="F13">
            <v>5</v>
          </cell>
          <cell r="M13" t="str">
            <v>INA</v>
          </cell>
          <cell r="N13">
            <v>11</v>
          </cell>
          <cell r="O13">
            <v>6</v>
          </cell>
          <cell r="R13">
            <v>5</v>
          </cell>
          <cell r="U13">
            <v>1</v>
          </cell>
          <cell r="AD13">
            <v>0.3</v>
          </cell>
          <cell r="AF13" t="str">
            <v>DE</v>
          </cell>
        </row>
        <row r="14">
          <cell r="C14" t="str">
            <v>Bonn</v>
          </cell>
          <cell r="E14" t="str">
            <v>A6</v>
          </cell>
          <cell r="F14">
            <v>6</v>
          </cell>
          <cell r="N14">
            <v>10</v>
          </cell>
          <cell r="O14">
            <v>7</v>
          </cell>
          <cell r="R14">
            <v>6</v>
          </cell>
          <cell r="U14">
            <v>0.25</v>
          </cell>
          <cell r="AD14">
            <v>0.35</v>
          </cell>
          <cell r="AF14" t="str">
            <v>EE</v>
          </cell>
          <cell r="AS14">
            <v>1</v>
          </cell>
        </row>
        <row r="15">
          <cell r="C15" t="str">
            <v>Karlsruhe</v>
          </cell>
          <cell r="E15" t="str">
            <v>A7</v>
          </cell>
          <cell r="F15">
            <v>7</v>
          </cell>
          <cell r="N15">
            <v>9</v>
          </cell>
          <cell r="O15">
            <v>8</v>
          </cell>
          <cell r="R15">
            <v>7</v>
          </cell>
          <cell r="U15">
            <v>0</v>
          </cell>
          <cell r="AD15">
            <v>0.4</v>
          </cell>
          <cell r="AF15" t="str">
            <v>GR</v>
          </cell>
          <cell r="AS15">
            <v>0.9</v>
          </cell>
        </row>
        <row r="16">
          <cell r="C16" t="str">
            <v>Münich</v>
          </cell>
          <cell r="E16" t="str">
            <v>A8</v>
          </cell>
          <cell r="F16">
            <v>8</v>
          </cell>
          <cell r="M16">
            <v>2</v>
          </cell>
          <cell r="N16">
            <v>8</v>
          </cell>
          <cell r="R16">
            <v>8</v>
          </cell>
          <cell r="AF16" t="str">
            <v>ES</v>
          </cell>
          <cell r="AS16">
            <v>0.8</v>
          </cell>
        </row>
        <row r="17">
          <cell r="C17" t="str">
            <v>EE</v>
          </cell>
          <cell r="E17" t="str">
            <v>B1</v>
          </cell>
          <cell r="N17">
            <v>7</v>
          </cell>
          <cell r="AF17" t="str">
            <v>FR</v>
          </cell>
          <cell r="AS17">
            <v>0.75</v>
          </cell>
        </row>
        <row r="18">
          <cell r="C18" t="str">
            <v>GR</v>
          </cell>
          <cell r="E18" t="str">
            <v>B2</v>
          </cell>
          <cell r="N18">
            <v>6</v>
          </cell>
          <cell r="AF18" t="str">
            <v>IE</v>
          </cell>
          <cell r="AS18">
            <v>0.7</v>
          </cell>
        </row>
        <row r="19">
          <cell r="C19" t="str">
            <v>ES</v>
          </cell>
          <cell r="E19" t="str">
            <v>B3</v>
          </cell>
          <cell r="M19" t="str">
            <v>No</v>
          </cell>
          <cell r="N19">
            <v>5</v>
          </cell>
          <cell r="AF19" t="str">
            <v>IT</v>
          </cell>
          <cell r="AS19">
            <v>0.6667</v>
          </cell>
        </row>
        <row r="20">
          <cell r="C20" t="str">
            <v>FR</v>
          </cell>
          <cell r="E20" t="str">
            <v>B4</v>
          </cell>
          <cell r="M20" t="str">
            <v>INA</v>
          </cell>
          <cell r="N20">
            <v>4</v>
          </cell>
          <cell r="AF20" t="str">
            <v>CY</v>
          </cell>
          <cell r="AS20">
            <v>0.6</v>
          </cell>
        </row>
        <row r="21">
          <cell r="C21" t="str">
            <v>IE</v>
          </cell>
          <cell r="E21" t="str">
            <v>B5</v>
          </cell>
          <cell r="M21" t="str">
            <v>INB</v>
          </cell>
          <cell r="N21">
            <v>3</v>
          </cell>
          <cell r="AF21" t="str">
            <v>LV</v>
          </cell>
          <cell r="AS21">
            <v>0.5</v>
          </cell>
        </row>
        <row r="22">
          <cell r="C22" t="str">
            <v>IT</v>
          </cell>
          <cell r="E22" t="str">
            <v>C1</v>
          </cell>
          <cell r="N22">
            <v>2</v>
          </cell>
          <cell r="AF22" t="str">
            <v>LT</v>
          </cell>
        </row>
        <row r="23">
          <cell r="C23" t="str">
            <v>Varese</v>
          </cell>
          <cell r="E23" t="str">
            <v>C2</v>
          </cell>
          <cell r="N23">
            <v>1</v>
          </cell>
          <cell r="AF23" t="str">
            <v>HU</v>
          </cell>
        </row>
        <row r="24">
          <cell r="C24" t="str">
            <v>CY</v>
          </cell>
          <cell r="E24" t="str">
            <v>C3</v>
          </cell>
          <cell r="AF24" t="str">
            <v>MT</v>
          </cell>
        </row>
        <row r="25">
          <cell r="C25" t="str">
            <v>LV</v>
          </cell>
          <cell r="E25" t="str">
            <v>C4</v>
          </cell>
          <cell r="AF25" t="str">
            <v>NL</v>
          </cell>
        </row>
        <row r="26">
          <cell r="C26" t="str">
            <v>LT</v>
          </cell>
          <cell r="E26" t="str">
            <v>C5</v>
          </cell>
          <cell r="AF26" t="str">
            <v>AT</v>
          </cell>
        </row>
        <row r="27">
          <cell r="C27" t="str">
            <v>HU</v>
          </cell>
          <cell r="E27" t="str">
            <v>D1</v>
          </cell>
          <cell r="AF27" t="str">
            <v>PL</v>
          </cell>
        </row>
        <row r="28">
          <cell r="C28" t="str">
            <v>MT</v>
          </cell>
          <cell r="E28" t="str">
            <v>D2</v>
          </cell>
          <cell r="AF28" t="str">
            <v>PT</v>
          </cell>
        </row>
        <row r="29">
          <cell r="C29" t="str">
            <v>NL</v>
          </cell>
          <cell r="E29" t="str">
            <v>D3</v>
          </cell>
          <cell r="AF29" t="str">
            <v>RO</v>
          </cell>
        </row>
        <row r="30">
          <cell r="C30" t="str">
            <v>AT</v>
          </cell>
          <cell r="E30" t="str">
            <v>D4</v>
          </cell>
          <cell r="AF30" t="str">
            <v>SI</v>
          </cell>
        </row>
        <row r="31">
          <cell r="C31" t="str">
            <v>PL</v>
          </cell>
          <cell r="AF31" t="str">
            <v>SK</v>
          </cell>
        </row>
        <row r="32">
          <cell r="C32" t="str">
            <v>PT</v>
          </cell>
          <cell r="AF32" t="str">
            <v>FI</v>
          </cell>
        </row>
        <row r="33">
          <cell r="C33" t="str">
            <v>RO</v>
          </cell>
          <cell r="AF33" t="str">
            <v>SE</v>
          </cell>
        </row>
        <row r="34">
          <cell r="C34" t="str">
            <v>SI</v>
          </cell>
          <cell r="AF34" t="str">
            <v>HR</v>
          </cell>
        </row>
        <row r="35">
          <cell r="C35" t="str">
            <v>SK</v>
          </cell>
          <cell r="AF35" t="str">
            <v>UK</v>
          </cell>
        </row>
        <row r="36">
          <cell r="C36" t="str">
            <v>FI</v>
          </cell>
        </row>
        <row r="37">
          <cell r="C37" t="str">
            <v>SE</v>
          </cell>
        </row>
        <row r="38">
          <cell r="C38" t="str">
            <v>UK</v>
          </cell>
        </row>
        <row r="39">
          <cell r="C39" t="str">
            <v>HR</v>
          </cell>
        </row>
        <row r="40">
          <cell r="C40" t="str">
            <v>Culham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0.9921875" style="173" customWidth="1"/>
    <col min="2" max="2" width="37.8515625" style="175" customWidth="1"/>
    <col min="3" max="4" width="12.8515625" style="72" customWidth="1"/>
    <col min="5" max="8" width="15.8515625" style="72" customWidth="1"/>
    <col min="9" max="16384" width="9.140625" style="72" customWidth="1"/>
  </cols>
  <sheetData>
    <row r="1" spans="2:8" s="18" customFormat="1" ht="13.5" thickBot="1">
      <c r="B1" s="218" t="str">
        <f>CHOOSE(langue,TradInput!A2,TradInput!B2)</f>
        <v>En vigueur depuis</v>
      </c>
      <c r="C1" s="410">
        <f>Param_Calculette!$B$2</f>
        <v>44743</v>
      </c>
      <c r="D1" s="201"/>
      <c r="E1" s="619">
        <f>Param_Calculette!B3</f>
        <v>44927</v>
      </c>
      <c r="F1" s="201"/>
      <c r="H1" s="200"/>
    </row>
    <row r="2" spans="1:5" s="74" customFormat="1" ht="20.25">
      <c r="A2" s="174"/>
      <c r="B2" s="176" t="str">
        <f>CHOOSE(langue,TradInput!A3,TradInput!B3)</f>
        <v>Général</v>
      </c>
      <c r="C2" s="115"/>
      <c r="D2" s="171"/>
      <c r="E2" s="204" t="str">
        <f>CHOOSE(langue,TradInput!$A$1,TradInput!$B$1)</f>
        <v>Voir résultat</v>
      </c>
    </row>
    <row r="3" spans="1:8" s="73" customFormat="1" ht="20.25">
      <c r="A3" s="173"/>
      <c r="B3" s="190" t="s">
        <v>69</v>
      </c>
      <c r="C3" s="125"/>
      <c r="D3" s="202"/>
      <c r="H3" s="71"/>
    </row>
    <row r="4" spans="1:5" s="71" customFormat="1" ht="20.25">
      <c r="A4" s="173"/>
      <c r="B4" s="191" t="str">
        <f>CHOOSE(langue,TradInput!A5,TradInput!B5)</f>
        <v>Lieu d'affectation</v>
      </c>
      <c r="C4" s="146"/>
      <c r="D4" s="172"/>
      <c r="E4" s="72"/>
    </row>
    <row r="5" spans="2:8" ht="17.25" customHeight="1">
      <c r="B5" s="191"/>
      <c r="C5" s="146"/>
      <c r="D5" s="172"/>
      <c r="E5" s="100"/>
      <c r="F5" s="100"/>
      <c r="G5" s="100"/>
      <c r="H5" s="100"/>
    </row>
    <row r="6" spans="2:11" ht="30.75" customHeight="1">
      <c r="B6" s="191" t="str">
        <f>CHOOSE(langue,TradInput!A7,TradInput!B7)</f>
        <v>Temps partiel / temps complet</v>
      </c>
      <c r="C6" s="563">
        <v>1</v>
      </c>
      <c r="D6" s="146"/>
      <c r="E6" s="896" t="str">
        <f>IF(AND(Parental,PartTime&lt;&gt;0%,PartTime&lt;&gt;50%),CHOOSE(langue,TradInput!A38,TradInput!B38),CHOOSE(langue,TradInput!A70,TradInput!B70))</f>
        <v>Laisser 100% pour temps complet.
Introduire 50-60-75-80 ou 90 % pour temps partiel.
Introduire une valeur entre 60 et 80 % pour la préretraite (Statut article 4 Annexe IV bis)
Introduire 0 ou 50% pour le congé parental / familial (Statut article 42bis)</v>
      </c>
      <c r="F6" s="897"/>
      <c r="G6" s="897"/>
      <c r="H6" s="897"/>
      <c r="I6" s="633"/>
      <c r="J6" s="633"/>
      <c r="K6" s="634"/>
    </row>
    <row r="7" spans="2:11" ht="20.25">
      <c r="B7" s="325" t="str">
        <f>CHOOSE(langue,TradInput!A8,TradInput!B8)</f>
        <v>Si temps partiel, contribution pension 100%</v>
      </c>
      <c r="C7" s="319"/>
      <c r="D7" s="319"/>
      <c r="E7" s="898"/>
      <c r="F7" s="899"/>
      <c r="G7" s="899"/>
      <c r="H7" s="899"/>
      <c r="I7" s="100"/>
      <c r="J7" s="100"/>
      <c r="K7" s="631"/>
    </row>
    <row r="8" spans="2:11" ht="20.25">
      <c r="B8" s="556" t="str">
        <f>CHOOSE(langue,TradInput!A9,TradInput!B9)</f>
        <v>Congé parental / familial</v>
      </c>
      <c r="C8" s="319"/>
      <c r="D8" s="319"/>
      <c r="E8" s="898"/>
      <c r="F8" s="899"/>
      <c r="G8" s="899"/>
      <c r="H8" s="899"/>
      <c r="I8" s="100"/>
      <c r="J8" s="100"/>
      <c r="K8" s="631"/>
    </row>
    <row r="9" spans="2:11" ht="20.25">
      <c r="B9" s="556" t="str">
        <f>CHOOSE(langue,TradInput!A10,TradInput!B10)</f>
        <v>Prolongation Congé Parental</v>
      </c>
      <c r="C9" s="319"/>
      <c r="D9" s="319"/>
      <c r="E9" s="637" t="str">
        <f>IF(Prolong,IF(Parental,"",CHOOSE(langue,TradInput!A73,TradInput!B73)),"Statut Art.42bis")</f>
        <v>Statut Art.42bis</v>
      </c>
      <c r="F9" s="632"/>
      <c r="G9" s="632"/>
      <c r="H9" s="632"/>
      <c r="I9" s="100"/>
      <c r="J9" s="100"/>
      <c r="K9" s="631"/>
    </row>
    <row r="10" spans="2:11" ht="21" thickBot="1">
      <c r="B10" s="556" t="str">
        <f>CHOOSE(langue,TradInput!A11,TradInput!B11)</f>
        <v>Si congé parental / familial, majoration</v>
      </c>
      <c r="C10" s="319"/>
      <c r="D10" s="319"/>
      <c r="E10" s="630" t="str">
        <f>IF(Isole,IF(Parental,"",CHOOSE(langue,TradInput!A74,TradInput!B74)),CHOOSE(langue,TradInput!A76,TradInput!B76))</f>
        <v>Pour les parents isolés et les parents ayant la charge d'un enfant atteint d'une maladie grave, … 
(Statut: Art.42 bis alinéa 4)</v>
      </c>
      <c r="F10" s="629"/>
      <c r="G10" s="629"/>
      <c r="H10" s="629"/>
      <c r="I10" s="635"/>
      <c r="J10" s="635"/>
      <c r="K10" s="636"/>
    </row>
    <row r="11" spans="2:4" ht="20.25">
      <c r="B11" s="176" t="str">
        <f>CHOOSE(langue,TradInput!A13,TradInput!B13)</f>
        <v>Traitement de base</v>
      </c>
      <c r="C11" s="181"/>
      <c r="D11" s="182"/>
    </row>
    <row r="12" spans="2:4" ht="27.75" customHeight="1" thickBot="1">
      <c r="B12" s="191" t="str">
        <f>CHOOSE(langue,TradInput!A21,TradInput!B21)</f>
        <v>Grade &amp; Echelon</v>
      </c>
      <c r="C12" s="245"/>
      <c r="D12" s="570"/>
    </row>
    <row r="13" spans="1:6" s="71" customFormat="1" ht="20.25">
      <c r="A13" s="173"/>
      <c r="B13" s="176" t="str">
        <f>CHOOSE(langue,TradInput!A25,TradInput!B25)</f>
        <v>Allocations</v>
      </c>
      <c r="C13" s="116"/>
      <c r="D13" s="117"/>
      <c r="E13" s="186"/>
      <c r="F13" s="74"/>
    </row>
    <row r="14" spans="2:4" ht="20.25">
      <c r="B14" s="192" t="str">
        <f>CHOOSE(langue,TradInput!A26,TradInput!B26)</f>
        <v>Allocation de foyer</v>
      </c>
      <c r="C14" s="101"/>
      <c r="D14" s="75"/>
    </row>
    <row r="15" spans="2:4" ht="20.25">
      <c r="B15" s="191" t="str">
        <f>CHOOSE(langue,TradInput!A27,TradInput!B27)</f>
        <v>Allocation enfants à charge</v>
      </c>
      <c r="C15" s="101"/>
      <c r="D15" s="75"/>
    </row>
    <row r="16" spans="2:4" ht="21" thickBot="1">
      <c r="B16" s="191" t="str">
        <f>CHOOSE(langue,TradInput!A28,TradInput!B28)</f>
        <v>Allocation de dépaysement / expatriation</v>
      </c>
      <c r="C16" s="101"/>
      <c r="D16" s="75"/>
    </row>
    <row r="17" spans="1:5" s="71" customFormat="1" ht="20.25">
      <c r="A17" s="173"/>
      <c r="B17" s="176" t="str">
        <f>CHOOSE(langue,TradInput!A31,TradInput!B31)</f>
        <v>Allocation scolaire forfaitaire (une par enfant)</v>
      </c>
      <c r="C17" s="116"/>
      <c r="D17" s="117"/>
      <c r="E17" s="555">
        <f>IF(SUM(School)&gt;Children,CHOOSE(langue,TradInput!A42,TradInput!B42),"")</f>
      </c>
    </row>
    <row r="18" spans="1:4" s="71" customFormat="1" ht="20.25">
      <c r="A18" s="173"/>
      <c r="B18" s="349" t="str">
        <f>CHOOSE(langue,TradInput!A32,TradInput!B32)</f>
        <v>Enfants &lt; 6 ans (Nouveau)</v>
      </c>
      <c r="C18" s="350"/>
      <c r="D18" s="351"/>
    </row>
    <row r="19" spans="1:4" s="71" customFormat="1" ht="49.5">
      <c r="A19" s="173"/>
      <c r="B19" s="193" t="str">
        <f>CHOOSE(langue,TradInput!A40,TradInput!B40)</f>
        <v>Enfants à l'école n'habitant pas sous le toit familial ou à l'université</v>
      </c>
      <c r="C19" s="77"/>
      <c r="D19" s="83"/>
    </row>
    <row r="20" spans="1:4" s="71" customFormat="1" ht="33.75" thickBot="1">
      <c r="A20" s="173"/>
      <c r="B20" s="194" t="str">
        <f>CHOOSE(langue,TradInput!A41,TradInput!B41)</f>
        <v>Enfants à l'université à plus de 50 km (seulement si dépaysement)</v>
      </c>
      <c r="C20" s="76"/>
      <c r="D20" s="75"/>
    </row>
    <row r="21" spans="1:4" s="71" customFormat="1" ht="20.25">
      <c r="A21" s="173"/>
      <c r="B21" s="177" t="str">
        <f>CHOOSE(langue,TradInput!A44,TradInput!B44)</f>
        <v>Autres paiements et retenues</v>
      </c>
      <c r="C21" s="118"/>
      <c r="D21" s="119"/>
    </row>
    <row r="22" spans="1:4" s="71" customFormat="1" ht="20.25">
      <c r="A22" s="173"/>
      <c r="B22" s="178" t="str">
        <f>CHOOSE(langue,TradInput!A45,TradInput!B45)</f>
        <v>Allocation scolaire non forfaitaire</v>
      </c>
      <c r="C22" s="76"/>
      <c r="D22" s="32">
        <v>0</v>
      </c>
    </row>
    <row r="23" spans="1:4" s="71" customFormat="1" ht="20.25">
      <c r="A23" s="173"/>
      <c r="B23" s="178" t="str">
        <f>CHOOSE(langue,TradInput!A46,TradInput!B46)</f>
        <v>Alloc. perçue par ailleurs ou versée à une tierce pers.</v>
      </c>
      <c r="C23" s="76"/>
      <c r="D23" s="32">
        <v>0</v>
      </c>
    </row>
    <row r="24" spans="1:4" s="71" customFormat="1" ht="20.25">
      <c r="A24" s="173"/>
      <c r="B24" s="178" t="str">
        <f>CHOOSE(langue,TradInput!A47,TradInput!B47)</f>
        <v>Hors union: assurance maladie complémentaire</v>
      </c>
      <c r="C24" s="101"/>
      <c r="D24" s="75"/>
    </row>
    <row r="25" spans="1:4" s="71" customFormat="1" ht="20.25">
      <c r="A25" s="173"/>
      <c r="B25" s="178" t="str">
        <f>CHOOSE(langue,TradInput!A48,TradInput!B48)</f>
        <v>Hors union: assurance accident personnes à charge</v>
      </c>
      <c r="C25" s="101"/>
      <c r="D25" s="75"/>
    </row>
    <row r="26" spans="1:4" s="71" customFormat="1" ht="20.25">
      <c r="A26" s="173"/>
      <c r="B26" s="178" t="str">
        <f>CHOOSE(langue,TradInput!A49,TradInput!B49)</f>
        <v>Hors union: indemnité conditions de vie</v>
      </c>
      <c r="C26" s="101"/>
      <c r="D26" s="75"/>
    </row>
    <row r="27" spans="1:4" s="71" customFormat="1" ht="21" thickBot="1">
      <c r="A27" s="173"/>
      <c r="B27" s="178" t="str">
        <f>CHOOSE(langue,TradInput!A50,TradInput!B50)</f>
        <v>Hors union: indemnité conditions de vie difficiles</v>
      </c>
      <c r="C27" s="101"/>
      <c r="D27" s="75"/>
    </row>
    <row r="28" spans="2:4" ht="20.25">
      <c r="B28" s="179" t="str">
        <f>CHOOSE(langue,TradInput!A51,TradInput!B51)</f>
        <v>Voyage annuel</v>
      </c>
      <c r="C28" s="121"/>
      <c r="D28" s="151"/>
    </row>
    <row r="29" spans="1:6" s="71" customFormat="1" ht="20.25">
      <c r="A29" s="173"/>
      <c r="B29" s="180" t="str">
        <f>CHOOSE(langue,TradInput!A55,TradInput!B55)</f>
        <v>Nombre de personnes de plus de 2 ans</v>
      </c>
      <c r="C29" s="99"/>
      <c r="D29" s="96"/>
      <c r="E29" s="183" t="str">
        <f>CHOOSE(langue,TradInput!A54,TradInput!B54)</f>
        <v>Vous-même inclus</v>
      </c>
      <c r="F29" s="72"/>
    </row>
    <row r="30" spans="2:5" ht="21" thickBot="1">
      <c r="B30" s="195" t="str">
        <f>CHOOSE(langue,TradInput!A57,TradInput!B57)</f>
        <v>Distance en Km du lieu d'origine</v>
      </c>
      <c r="C30" s="152">
        <v>0</v>
      </c>
      <c r="D30" s="153"/>
      <c r="E30" s="183" t="str">
        <f>CHOOSE(langue,TradInput!A58,TradInput!B58)</f>
        <v>Voir SICcongé / demande congé/ personnel</v>
      </c>
    </row>
    <row r="31" spans="2:9" ht="31.5" customHeight="1">
      <c r="B31" s="179" t="str">
        <f>CHOOSE(langue,TradInput!A60,TradInput!B60)</f>
        <v>Transfert</v>
      </c>
      <c r="C31" s="121"/>
      <c r="D31" s="121"/>
      <c r="E31" s="120"/>
      <c r="F31" s="151"/>
      <c r="G31" s="900" t="str">
        <f>CHOOSE(langue,TradInput!A75,TradInput!B75)</f>
        <v>Les montants sont limités à 5% du salaire de base pour le transfert suite à des obligations familiales et au montant de l'allocation scolaire réellement perçue dans les autres cas.</v>
      </c>
      <c r="H31" s="901"/>
      <c r="I31" s="902"/>
    </row>
    <row r="32" spans="2:9" ht="50.25" thickBot="1">
      <c r="B32" s="581" t="str">
        <f>CHOOSE(langue,TradInput!A64,TradInput!B64)</f>
        <v>Transfert obligatoire vers une autre personne suite à une décision de justice</v>
      </c>
      <c r="C32" s="582">
        <v>0</v>
      </c>
      <c r="D32" s="583"/>
      <c r="E32" s="584"/>
      <c r="F32" s="585"/>
      <c r="G32" s="903"/>
      <c r="H32" s="904"/>
      <c r="I32" s="905"/>
    </row>
    <row r="33" spans="2:9" ht="28.5" thickTop="1">
      <c r="B33" s="187" t="str">
        <f>CHOOSE(langue,TradInput!A65,TradInput!B65)</f>
        <v>Transfert pour des enfants étudiant à l'étranger</v>
      </c>
      <c r="C33" s="100"/>
      <c r="D33" s="100"/>
      <c r="E33" s="188" t="str">
        <f>CHOOSE(langue,TradInput!A66,TradInput!B66)</f>
        <v>Enfants dans ce pays à l'école</v>
      </c>
      <c r="F33" s="189" t="str">
        <f>CHOOSE(langue,TradInput!A67,TradInput!B67)</f>
        <v>Enfants dans ce pays à l'université</v>
      </c>
      <c r="G33" s="612"/>
      <c r="H33" s="613"/>
      <c r="I33" s="614"/>
    </row>
    <row r="34" spans="2:9" ht="20.25">
      <c r="B34" s="180" t="str">
        <f>CHOOSE(langue,TradInput!A62,TradInput!B62)</f>
        <v>Transfert vers pays 1</v>
      </c>
      <c r="C34" s="197">
        <v>0</v>
      </c>
      <c r="D34" s="154"/>
      <c r="E34" s="154"/>
      <c r="F34" s="156"/>
      <c r="G34" s="555">
        <f>IF((TrfSco1+TrfSco2+TrfUniv1+TrfUniv2)&gt;Children,CHOOSE(langue,TradInput!A42,TradInput!B42),"")</f>
      </c>
      <c r="H34" s="613"/>
      <c r="I34" s="614"/>
    </row>
    <row r="35" spans="2:9" ht="21" thickBot="1">
      <c r="B35" s="196" t="str">
        <f>CHOOSE(langue,TradInput!A63,TradInput!B63)</f>
        <v>Transfert vers pays 2</v>
      </c>
      <c r="C35" s="198">
        <v>0</v>
      </c>
      <c r="D35" s="155"/>
      <c r="E35" s="155"/>
      <c r="F35" s="157"/>
      <c r="G35" s="615"/>
      <c r="H35" s="616"/>
      <c r="I35" s="617"/>
    </row>
    <row r="36" spans="2:5" ht="20.25">
      <c r="B36" s="343" t="str">
        <f>CHOOSE(langue,TradInput!A69,TradInput!B69)</f>
        <v>Ce programme couvre les cas les plus fréquents</v>
      </c>
      <c r="E36" s="206" t="str">
        <f>CHOOSE(langue,TradInput!$A$1,TradInput!$B$1)</f>
        <v>Voir résultat</v>
      </c>
    </row>
    <row r="37" ht="20.25">
      <c r="F37" s="203"/>
    </row>
  </sheetData>
  <sheetProtection password="CF11" sheet="1"/>
  <mergeCells count="2">
    <mergeCell ref="E6:H8"/>
    <mergeCell ref="G31:I32"/>
  </mergeCells>
  <dataValidations count="3">
    <dataValidation type="decimal" operator="lessThanOrEqual" allowBlank="1" showInputMessage="1" showErrorMessage="1" errorTitle="ERROR / ERREUR" error="Negative values only&#10;Valeurs  négatives uniquement" sqref="D23">
      <formula1>0</formula1>
    </dataValidation>
    <dataValidation type="decimal" operator="greaterThanOrEqual" allowBlank="1" showInputMessage="1" showErrorMessage="1" errorTitle="                  ERROR / ERREUR" error="Positive values only&#10;Valeurs positives uniquement" sqref="C30:D30 D22">
      <formula1>0</formula1>
    </dataValidation>
    <dataValidation type="decimal" allowBlank="1" showInputMessage="1" showErrorMessage="1" sqref="C6">
      <formula1>0</formula1>
      <formula2>1</formula2>
    </dataValidation>
  </dataValidations>
  <hyperlinks>
    <hyperlink ref="E2" location="Display" display="Display"/>
    <hyperlink ref="E36" location="Display" display="Display"/>
  </hyperlinks>
  <printOptions horizontalCentered="1"/>
  <pageMargins left="0.15748031496062992" right="0.15748031496062992" top="0.3937007874015748" bottom="0.7874015748031497" header="0.5118110236220472" footer="0.5118110236220472"/>
  <pageSetup cellComments="asDisplayed" fitToHeight="1" fitToWidth="1" horizontalDpi="600" verticalDpi="600" orientation="portrait" paperSize="9" scale="84" r:id="rId3"/>
  <headerFooter alignWithMargins="0">
    <oddFooter>&amp;R&amp;8&amp;F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6.8515625" style="18" bestFit="1" customWidth="1"/>
    <col min="2" max="2" width="39.140625" style="18" bestFit="1" customWidth="1"/>
  </cols>
  <sheetData>
    <row r="1" spans="1:2" ht="12.75">
      <c r="A1" s="128" t="s">
        <v>495</v>
      </c>
      <c r="B1" s="128" t="s">
        <v>496</v>
      </c>
    </row>
    <row r="2" spans="1:2" ht="12.75">
      <c r="A2" s="220"/>
      <c r="B2" s="220"/>
    </row>
    <row r="3" spans="1:2" ht="12.75">
      <c r="A3" s="246" t="s">
        <v>380</v>
      </c>
      <c r="B3" s="246" t="s">
        <v>381</v>
      </c>
    </row>
    <row r="4" spans="1:2" ht="12.75">
      <c r="A4" s="246" t="s">
        <v>370</v>
      </c>
      <c r="B4" s="246" t="s">
        <v>371</v>
      </c>
    </row>
    <row r="5" spans="1:2" ht="12.75">
      <c r="A5" s="246" t="s">
        <v>369</v>
      </c>
      <c r="B5" s="246" t="s">
        <v>384</v>
      </c>
    </row>
    <row r="6" spans="1:2" ht="12.75">
      <c r="A6" s="246" t="s">
        <v>382</v>
      </c>
      <c r="B6" s="246" t="s">
        <v>383</v>
      </c>
    </row>
    <row r="7" spans="1:2" ht="12.75">
      <c r="A7" s="246" t="s">
        <v>367</v>
      </c>
      <c r="B7" s="246" t="s">
        <v>368</v>
      </c>
    </row>
    <row r="9" spans="1:2" ht="12.75">
      <c r="A9" s="246" t="s">
        <v>372</v>
      </c>
      <c r="B9" s="246" t="s">
        <v>373</v>
      </c>
    </row>
    <row r="10" spans="1:2" ht="12.75">
      <c r="A10" s="246" t="s">
        <v>400</v>
      </c>
      <c r="B10" s="246" t="s">
        <v>401</v>
      </c>
    </row>
    <row r="11" spans="1:2" ht="12.75">
      <c r="A11" s="246" t="s">
        <v>365</v>
      </c>
      <c r="B11" s="246" t="s">
        <v>366</v>
      </c>
    </row>
    <row r="12" spans="1:5" s="18" customFormat="1" ht="12.75">
      <c r="A12" s="246" t="s">
        <v>362</v>
      </c>
      <c r="B12" s="246" t="s">
        <v>280</v>
      </c>
      <c r="D12"/>
      <c r="E12"/>
    </row>
    <row r="13" spans="1:2" ht="12.75">
      <c r="A13" s="246" t="s">
        <v>363</v>
      </c>
      <c r="B13" s="246" t="s">
        <v>364</v>
      </c>
    </row>
    <row r="14" spans="1:2" ht="12.75">
      <c r="A14" s="37"/>
      <c r="B14" s="219"/>
    </row>
    <row r="15" spans="1:2" ht="12.75">
      <c r="A15" s="19" t="s">
        <v>176</v>
      </c>
      <c r="B15" s="19" t="s">
        <v>177</v>
      </c>
    </row>
    <row r="16" spans="1:2" ht="12.75">
      <c r="A16" s="18" t="s">
        <v>237</v>
      </c>
      <c r="B16" s="18" t="s">
        <v>238</v>
      </c>
    </row>
    <row r="17" spans="1:2" ht="12.75">
      <c r="A17" s="18" t="s">
        <v>241</v>
      </c>
      <c r="B17" s="18" t="s">
        <v>193</v>
      </c>
    </row>
    <row r="18" spans="1:2" ht="12.75">
      <c r="A18" s="18" t="s">
        <v>240</v>
      </c>
      <c r="B18" s="18" t="s">
        <v>242</v>
      </c>
    </row>
    <row r="19" spans="1:2" ht="12.75">
      <c r="A19" s="18" t="s">
        <v>181</v>
      </c>
      <c r="B19" s="18" t="s">
        <v>180</v>
      </c>
    </row>
    <row r="20" spans="1:2" ht="12.75">
      <c r="A20" s="18" t="s">
        <v>182</v>
      </c>
      <c r="B20" s="18" t="s">
        <v>183</v>
      </c>
    </row>
    <row r="21" spans="1:2" ht="12.75">
      <c r="A21" s="18" t="s">
        <v>184</v>
      </c>
      <c r="B21" s="18" t="s">
        <v>185</v>
      </c>
    </row>
    <row r="23" spans="1:2" ht="12.75">
      <c r="A23" s="20" t="s">
        <v>276</v>
      </c>
      <c r="B23" s="20" t="s">
        <v>77</v>
      </c>
    </row>
    <row r="24" spans="1:2" ht="12.75">
      <c r="A24" s="21" t="s">
        <v>526</v>
      </c>
      <c r="B24" s="21" t="s">
        <v>527</v>
      </c>
    </row>
    <row r="25" spans="1:2" ht="12.75">
      <c r="A25" s="21" t="s">
        <v>33</v>
      </c>
      <c r="B25" s="21" t="s">
        <v>70</v>
      </c>
    </row>
    <row r="26" spans="1:2" ht="12.75">
      <c r="A26" s="21" t="s">
        <v>273</v>
      </c>
      <c r="B26" s="21" t="s">
        <v>71</v>
      </c>
    </row>
    <row r="27" spans="1:2" ht="12.75">
      <c r="A27" s="21" t="s">
        <v>274</v>
      </c>
      <c r="B27" s="21" t="s">
        <v>275</v>
      </c>
    </row>
    <row r="28" spans="1:2" ht="12.75">
      <c r="A28" s="21" t="s">
        <v>38</v>
      </c>
      <c r="B28" s="21" t="s">
        <v>232</v>
      </c>
    </row>
    <row r="29" spans="1:2" ht="12.75">
      <c r="A29" s="21" t="s">
        <v>243</v>
      </c>
      <c r="B29" s="21" t="s">
        <v>86</v>
      </c>
    </row>
    <row r="30" spans="1:2" ht="12.75">
      <c r="A30" s="21" t="s">
        <v>34</v>
      </c>
      <c r="B30" s="21" t="s">
        <v>78</v>
      </c>
    </row>
    <row r="31" spans="1:2" ht="12.75">
      <c r="A31" s="21" t="s">
        <v>35</v>
      </c>
      <c r="B31" s="21" t="s">
        <v>79</v>
      </c>
    </row>
    <row r="32" spans="1:2" ht="12.75">
      <c r="A32" s="21" t="s">
        <v>36</v>
      </c>
      <c r="B32" s="21" t="s">
        <v>80</v>
      </c>
    </row>
    <row r="33" spans="1:2" ht="12.75">
      <c r="A33" s="21" t="s">
        <v>353</v>
      </c>
      <c r="B33" s="21" t="s">
        <v>351</v>
      </c>
    </row>
    <row r="34" spans="1:2" ht="12.75">
      <c r="A34" s="21" t="s">
        <v>354</v>
      </c>
      <c r="B34" s="21" t="s">
        <v>352</v>
      </c>
    </row>
    <row r="35" spans="1:2" ht="12.75">
      <c r="A35" s="21" t="s">
        <v>435</v>
      </c>
      <c r="B35" s="21" t="s">
        <v>434</v>
      </c>
    </row>
    <row r="36" spans="1:2" ht="12.75">
      <c r="A36" s="21" t="s">
        <v>436</v>
      </c>
      <c r="B36" s="21" t="s">
        <v>437</v>
      </c>
    </row>
    <row r="37" spans="1:2" ht="12.75">
      <c r="A37" s="21" t="s">
        <v>37</v>
      </c>
      <c r="B37" s="21" t="s">
        <v>22</v>
      </c>
    </row>
    <row r="38" spans="1:2" ht="12.75">
      <c r="A38" s="21" t="s">
        <v>226</v>
      </c>
      <c r="B38" s="21" t="s">
        <v>227</v>
      </c>
    </row>
    <row r="39" spans="1:2" ht="12.75">
      <c r="A39" s="38" t="s">
        <v>192</v>
      </c>
      <c r="B39" s="38" t="s">
        <v>336</v>
      </c>
    </row>
    <row r="40" spans="1:2" ht="12.75">
      <c r="A40" s="21" t="s">
        <v>145</v>
      </c>
      <c r="B40" s="21" t="s">
        <v>171</v>
      </c>
    </row>
    <row r="41" spans="1:2" ht="12.75">
      <c r="A41" s="21" t="s">
        <v>168</v>
      </c>
      <c r="B41" s="21" t="s">
        <v>169</v>
      </c>
    </row>
    <row r="42" spans="1:2" ht="12.75">
      <c r="A42" s="18" t="s">
        <v>170</v>
      </c>
      <c r="B42" s="18" t="s">
        <v>172</v>
      </c>
    </row>
    <row r="43" spans="1:2" ht="12.75">
      <c r="A43" s="21" t="s">
        <v>174</v>
      </c>
      <c r="B43" s="21" t="s">
        <v>175</v>
      </c>
    </row>
    <row r="44" spans="1:2" ht="12.75">
      <c r="A44" s="23" t="s">
        <v>292</v>
      </c>
      <c r="B44" s="23" t="s">
        <v>319</v>
      </c>
    </row>
    <row r="45" spans="1:2" ht="12.75">
      <c r="A45" s="23" t="s">
        <v>296</v>
      </c>
      <c r="B45" s="23" t="s">
        <v>402</v>
      </c>
    </row>
    <row r="46" spans="1:2" ht="12.75">
      <c r="A46" s="21" t="s">
        <v>320</v>
      </c>
      <c r="B46" s="21" t="s">
        <v>403</v>
      </c>
    </row>
    <row r="47" spans="1:2" ht="12.75">
      <c r="A47" s="209" t="s">
        <v>297</v>
      </c>
      <c r="B47" s="210" t="s">
        <v>298</v>
      </c>
    </row>
    <row r="48" spans="1:2" ht="12.75">
      <c r="A48" s="211" t="s">
        <v>329</v>
      </c>
      <c r="B48" s="212" t="s">
        <v>330</v>
      </c>
    </row>
    <row r="49" spans="1:2" ht="21">
      <c r="A49" s="213" t="s">
        <v>324</v>
      </c>
      <c r="B49" s="214" t="s">
        <v>323</v>
      </c>
    </row>
    <row r="50" spans="1:2" ht="12.75">
      <c r="A50" s="213" t="s">
        <v>299</v>
      </c>
      <c r="B50" s="213" t="s">
        <v>300</v>
      </c>
    </row>
    <row r="51" spans="1:2" ht="12.75">
      <c r="A51" s="24" t="s">
        <v>83</v>
      </c>
      <c r="B51" s="24" t="s">
        <v>84</v>
      </c>
    </row>
    <row r="52" spans="1:2" ht="12.75">
      <c r="A52" s="24" t="s">
        <v>564</v>
      </c>
      <c r="B52" s="599" t="s">
        <v>549</v>
      </c>
    </row>
    <row r="53" spans="1:2" ht="12.75">
      <c r="A53" s="24" t="s">
        <v>565</v>
      </c>
      <c r="B53" s="599" t="s">
        <v>566</v>
      </c>
    </row>
    <row r="54" spans="1:2" ht="12.75">
      <c r="A54" s="18" t="s">
        <v>499</v>
      </c>
      <c r="B54" s="18" t="s">
        <v>390</v>
      </c>
    </row>
    <row r="55" spans="1:2" ht="12.75">
      <c r="A55" s="18" t="s">
        <v>500</v>
      </c>
      <c r="B55" s="18" t="s">
        <v>389</v>
      </c>
    </row>
    <row r="56" spans="1:2" ht="12.75">
      <c r="A56" s="89" t="s">
        <v>182</v>
      </c>
      <c r="B56" s="89" t="s">
        <v>286</v>
      </c>
    </row>
    <row r="57" spans="1:2" ht="12.75">
      <c r="A57" s="216" t="s">
        <v>314</v>
      </c>
      <c r="B57" s="216" t="s">
        <v>315</v>
      </c>
    </row>
    <row r="58" spans="1:2" ht="12.75">
      <c r="A58" s="90" t="s">
        <v>184</v>
      </c>
      <c r="B58" s="90" t="s">
        <v>287</v>
      </c>
    </row>
    <row r="61" spans="1:2" ht="12.75">
      <c r="A61" s="89" t="s">
        <v>220</v>
      </c>
      <c r="B61" s="89" t="s">
        <v>221</v>
      </c>
    </row>
    <row r="62" spans="1:2" ht="12.75">
      <c r="A62" s="90" t="s">
        <v>222</v>
      </c>
      <c r="B62" s="90" t="s">
        <v>310</v>
      </c>
    </row>
    <row r="63" spans="1:2" ht="12.75">
      <c r="A63" s="91" t="s">
        <v>206</v>
      </c>
      <c r="B63" s="91" t="s">
        <v>404</v>
      </c>
    </row>
    <row r="64" spans="1:2" ht="12.75">
      <c r="A64" s="91" t="s">
        <v>335</v>
      </c>
      <c r="B64" s="91" t="s">
        <v>405</v>
      </c>
    </row>
    <row r="65" spans="1:2" ht="12.75">
      <c r="A65" s="24" t="s">
        <v>49</v>
      </c>
      <c r="B65" s="24" t="s">
        <v>82</v>
      </c>
    </row>
    <row r="66" spans="1:2" ht="12.75">
      <c r="A66" s="86" t="s">
        <v>205</v>
      </c>
      <c r="B66" s="86" t="s">
        <v>204</v>
      </c>
    </row>
    <row r="67" spans="1:2" ht="12.75">
      <c r="A67" s="88" t="s">
        <v>65</v>
      </c>
      <c r="B67" s="88" t="s">
        <v>73</v>
      </c>
    </row>
    <row r="68" spans="1:2" ht="12.75">
      <c r="A68" s="87" t="s">
        <v>66</v>
      </c>
      <c r="B68" s="87" t="s">
        <v>74</v>
      </c>
    </row>
    <row r="69" spans="1:2" ht="12.75">
      <c r="A69" s="24" t="s">
        <v>60</v>
      </c>
      <c r="B69" s="24" t="s">
        <v>72</v>
      </c>
    </row>
    <row r="70" spans="1:2" ht="12.75">
      <c r="A70" s="597" t="s">
        <v>562</v>
      </c>
      <c r="B70" s="598" t="s">
        <v>563</v>
      </c>
    </row>
    <row r="71" spans="1:2" ht="12.75">
      <c r="A71" s="4"/>
      <c r="B71" s="4"/>
    </row>
    <row r="72" spans="1:2" ht="12.75">
      <c r="A72" s="26" t="s">
        <v>68</v>
      </c>
      <c r="B72" s="26" t="s">
        <v>75</v>
      </c>
    </row>
    <row r="73" spans="1:2" ht="12.75">
      <c r="A73" s="26" t="s">
        <v>215</v>
      </c>
      <c r="B73" s="26" t="s">
        <v>216</v>
      </c>
    </row>
    <row r="74" spans="1:2" ht="12.75">
      <c r="A74" s="26" t="s">
        <v>217</v>
      </c>
      <c r="B74" s="26" t="s">
        <v>218</v>
      </c>
    </row>
    <row r="77" spans="1:2" ht="12.75">
      <c r="A77" s="26" t="s">
        <v>278</v>
      </c>
      <c r="B77" s="26" t="s">
        <v>279</v>
      </c>
    </row>
    <row r="79" spans="1:2" ht="12.75">
      <c r="A79" s="40" t="s">
        <v>137</v>
      </c>
      <c r="B79" s="40" t="s">
        <v>138</v>
      </c>
    </row>
    <row r="80" spans="1:2" ht="12.75">
      <c r="A80" s="18" t="s">
        <v>271</v>
      </c>
      <c r="B80" s="18" t="s">
        <v>272</v>
      </c>
    </row>
    <row r="81" spans="1:2" ht="12.75">
      <c r="A81" s="18" t="s">
        <v>294</v>
      </c>
      <c r="B81" s="18" t="s">
        <v>295</v>
      </c>
    </row>
    <row r="82" spans="1:2" ht="12.75">
      <c r="A82" s="18" t="s">
        <v>289</v>
      </c>
      <c r="B82" s="18" t="s">
        <v>290</v>
      </c>
    </row>
    <row r="83" spans="1:2" ht="21">
      <c r="A83" s="107" t="s">
        <v>259</v>
      </c>
      <c r="B83" s="107" t="s">
        <v>260</v>
      </c>
    </row>
    <row r="84" spans="1:2" ht="21">
      <c r="A84" s="107" t="s">
        <v>261</v>
      </c>
      <c r="B84" s="107" t="s">
        <v>262</v>
      </c>
    </row>
    <row r="85" spans="1:2" ht="21">
      <c r="A85" s="107" t="s">
        <v>334</v>
      </c>
      <c r="B85" s="107" t="s">
        <v>406</v>
      </c>
    </row>
    <row r="86" spans="1:2" ht="21">
      <c r="A86" s="205" t="s">
        <v>301</v>
      </c>
      <c r="B86" s="205" t="s">
        <v>302</v>
      </c>
    </row>
    <row r="87" spans="1:2" ht="12.75">
      <c r="A87" s="205" t="s">
        <v>327</v>
      </c>
      <c r="B87" s="205" t="s">
        <v>328</v>
      </c>
    </row>
    <row r="88" spans="1:2" ht="21">
      <c r="A88" s="205" t="s">
        <v>288</v>
      </c>
      <c r="B88" s="205" t="s">
        <v>291</v>
      </c>
    </row>
    <row r="89" spans="1:2" ht="12.75">
      <c r="A89" s="107" t="s">
        <v>303</v>
      </c>
      <c r="B89" s="107" t="s">
        <v>303</v>
      </c>
    </row>
    <row r="90" spans="1:2" ht="12.75">
      <c r="A90" s="107" t="s">
        <v>304</v>
      </c>
      <c r="B90" s="107" t="s">
        <v>305</v>
      </c>
    </row>
    <row r="91" spans="1:2" ht="12.75">
      <c r="A91" s="215" t="s">
        <v>308</v>
      </c>
      <c r="B91" s="215" t="s">
        <v>312</v>
      </c>
    </row>
    <row r="92" spans="1:2" ht="30.75">
      <c r="A92" s="205" t="s">
        <v>307</v>
      </c>
      <c r="B92" s="205" t="s">
        <v>313</v>
      </c>
    </row>
    <row r="93" spans="1:2" ht="30.75">
      <c r="A93" s="205" t="s">
        <v>306</v>
      </c>
      <c r="B93" s="205" t="s">
        <v>407</v>
      </c>
    </row>
    <row r="94" spans="1:2" ht="30.75">
      <c r="A94" s="205" t="s">
        <v>309</v>
      </c>
      <c r="B94" s="205" t="s">
        <v>311</v>
      </c>
    </row>
    <row r="95" spans="1:2" ht="21">
      <c r="A95" s="213" t="s">
        <v>322</v>
      </c>
      <c r="B95" s="214" t="s">
        <v>321</v>
      </c>
    </row>
    <row r="96" spans="1:2" ht="12.75">
      <c r="A96" s="215" t="s">
        <v>308</v>
      </c>
      <c r="B96" s="215" t="s">
        <v>312</v>
      </c>
    </row>
    <row r="97" spans="1:2" ht="12.75">
      <c r="A97" s="238" t="s">
        <v>332</v>
      </c>
      <c r="B97" s="238" t="s">
        <v>333</v>
      </c>
    </row>
    <row r="98" spans="1:2" ht="12.75">
      <c r="A98" s="211" t="s">
        <v>450</v>
      </c>
      <c r="B98" s="212" t="s">
        <v>451</v>
      </c>
    </row>
    <row r="99" spans="1:2" ht="12.75">
      <c r="A99" s="211" t="s">
        <v>442</v>
      </c>
      <c r="B99" s="212" t="s">
        <v>444</v>
      </c>
    </row>
    <row r="100" spans="1:2" ht="12.75">
      <c r="A100" s="211" t="s">
        <v>443</v>
      </c>
      <c r="B100" s="212" t="s">
        <v>445</v>
      </c>
    </row>
    <row r="101" spans="1:2" ht="12.75">
      <c r="A101" s="211" t="s">
        <v>448</v>
      </c>
      <c r="B101" s="212" t="s">
        <v>446</v>
      </c>
    </row>
    <row r="102" spans="1:2" ht="12.75">
      <c r="A102" s="211" t="s">
        <v>449</v>
      </c>
      <c r="B102" s="212" t="s">
        <v>447</v>
      </c>
    </row>
    <row r="103" spans="1:2" ht="12.75">
      <c r="A103" s="433" t="s">
        <v>497</v>
      </c>
      <c r="B103" s="433" t="s">
        <v>498</v>
      </c>
    </row>
    <row r="104" spans="1:2" ht="12.75">
      <c r="A104" s="18" t="s">
        <v>506</v>
      </c>
      <c r="B104" s="18" t="s">
        <v>505</v>
      </c>
    </row>
    <row r="105" spans="1:2" ht="12.75">
      <c r="A105" s="18" t="s">
        <v>504</v>
      </c>
      <c r="B105" s="18" t="s">
        <v>507</v>
      </c>
    </row>
    <row r="106" spans="1:2" ht="12.75">
      <c r="A106" s="21" t="s">
        <v>508</v>
      </c>
      <c r="B106" s="21" t="s">
        <v>509</v>
      </c>
    </row>
    <row r="107" spans="1:2" ht="12.75">
      <c r="A107" s="18" t="s">
        <v>518</v>
      </c>
      <c r="B107" s="18" t="s">
        <v>519</v>
      </c>
    </row>
    <row r="108" spans="1:2" ht="12.75">
      <c r="A108" s="638" t="s">
        <v>597</v>
      </c>
      <c r="B108" s="638" t="s">
        <v>598</v>
      </c>
    </row>
    <row r="109" spans="1:2" ht="12.75">
      <c r="A109" s="638" t="s">
        <v>599</v>
      </c>
      <c r="B109" s="638" t="s">
        <v>600</v>
      </c>
    </row>
    <row r="110" spans="1:2" ht="12.75">
      <c r="A110" s="638" t="s">
        <v>63</v>
      </c>
      <c r="B110" s="638" t="s">
        <v>75</v>
      </c>
    </row>
    <row r="111" spans="1:2" ht="12.75">
      <c r="A111" s="638" t="s">
        <v>601</v>
      </c>
      <c r="B111" s="638" t="s">
        <v>602</v>
      </c>
    </row>
    <row r="112" spans="1:2" ht="12.75">
      <c r="A112" s="638" t="s">
        <v>603</v>
      </c>
      <c r="B112" s="638" t="s">
        <v>604</v>
      </c>
    </row>
    <row r="113" spans="1:2" ht="12.75">
      <c r="A113" s="638" t="s">
        <v>605</v>
      </c>
      <c r="B113" s="638" t="s">
        <v>606</v>
      </c>
    </row>
    <row r="114" spans="1:2" ht="12.75">
      <c r="A114" s="638" t="s">
        <v>607</v>
      </c>
      <c r="B114" s="638" t="s">
        <v>608</v>
      </c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B1">
      <selection activeCell="G1" sqref="G1"/>
    </sheetView>
  </sheetViews>
  <sheetFormatPr defaultColWidth="9.140625" defaultRowHeight="12.75"/>
  <cols>
    <col min="1" max="1" width="1.1484375" style="235" customWidth="1"/>
    <col min="2" max="2" width="30.8515625" style="235" customWidth="1"/>
    <col min="3" max="3" width="4.8515625" style="235" customWidth="1"/>
    <col min="4" max="4" width="12.8515625" style="235" customWidth="1"/>
    <col min="5" max="5" width="13.140625" style="235" customWidth="1"/>
    <col min="6" max="6" width="12.8515625" style="235" customWidth="1"/>
    <col min="7" max="7" width="14.8515625" style="235" customWidth="1"/>
    <col min="8" max="8" width="8.8515625" style="235" bestFit="1" customWidth="1"/>
    <col min="9" max="9" width="7.57421875" style="235" bestFit="1" customWidth="1"/>
    <col min="10" max="16384" width="9.140625" style="235" customWidth="1"/>
  </cols>
  <sheetData>
    <row r="1" spans="3:7" ht="15">
      <c r="C1" s="313" t="str">
        <f>CHOOSE(langue,TradResult!A1,TradResult!B1)</f>
        <v>En vigueur depuis</v>
      </c>
      <c r="D1" s="370">
        <f>Param_Calculette!B2</f>
        <v>44743</v>
      </c>
      <c r="F1" s="432"/>
      <c r="G1" s="261" t="str">
        <f>CHOOSE(langue,TradResult!$A$79,TradResult!$B$79)</f>
        <v>--&gt; Données</v>
      </c>
    </row>
    <row r="2" s="4" customFormat="1" ht="9.75"/>
    <row r="3" spans="2:7" ht="15">
      <c r="B3" s="259" t="str">
        <f>CHOOSE(langue,TradResult!A23,TradResult!B23)</f>
        <v>Traitement de base</v>
      </c>
      <c r="C3" s="262"/>
      <c r="D3" s="262"/>
      <c r="E3" s="324" t="str">
        <f>CHOOSE(langue,TradResult!A17,TradResult!B17)</f>
        <v>Grade Echelon</v>
      </c>
      <c r="F3" s="263"/>
      <c r="G3" s="229" t="s">
        <v>379</v>
      </c>
    </row>
    <row r="4" spans="2:7" ht="15">
      <c r="B4" s="267" t="str">
        <f>CHOOSE(langue,TradResult!A13,TradResult!B13)</f>
        <v>Traitement de base à temps complet</v>
      </c>
      <c r="C4" s="268"/>
      <c r="D4" s="269"/>
      <c r="E4" s="323" t="str">
        <f>GradeN&amp;" / "&amp;StepN</f>
        <v>1 / 1</v>
      </c>
      <c r="F4" s="322"/>
      <c r="G4" s="231">
        <f>IntCalcs!J2</f>
        <v>2277.79</v>
      </c>
    </row>
    <row r="5" spans="6:7" ht="15">
      <c r="F5" s="553"/>
      <c r="G5" s="554"/>
    </row>
    <row r="6" spans="2:9" ht="15">
      <c r="B6" s="259" t="str">
        <f>CHOOSE(langue,TradResult!A15,TradResult!B15)</f>
        <v>Rémunération mensuelle </v>
      </c>
      <c r="C6" s="262"/>
      <c r="D6" s="262"/>
      <c r="E6" s="262"/>
      <c r="F6" s="263"/>
      <c r="G6" s="229" t="s">
        <v>379</v>
      </c>
      <c r="H6" s="234"/>
      <c r="I6" s="234"/>
    </row>
    <row r="7" spans="2:9" ht="15">
      <c r="B7" s="271" t="str">
        <f>CHOOSE(langue,TradResult!A23,TradResult!B23)</f>
        <v>Traitement de base</v>
      </c>
      <c r="C7" s="112"/>
      <c r="D7" s="348">
        <f>IF(PartTime=1,,PartTime)</f>
        <v>0</v>
      </c>
      <c r="E7" s="272"/>
      <c r="F7" s="273"/>
      <c r="G7" s="232">
        <f>PartTime*fullTimeN</f>
        <v>2277.79</v>
      </c>
      <c r="H7" s="234"/>
      <c r="I7" s="234"/>
    </row>
    <row r="8" spans="2:9" ht="15">
      <c r="B8" s="264" t="str">
        <f>CHOOSE(langue,TradResult!A24,TradResult!B24)</f>
        <v>Allocation congé parental / familial</v>
      </c>
      <c r="C8" s="112"/>
      <c r="D8" s="348"/>
      <c r="E8" s="272"/>
      <c r="F8" s="273"/>
      <c r="G8" s="230">
        <f>IF(Parental,AllocParen,)</f>
        <v>0</v>
      </c>
      <c r="H8" s="234"/>
      <c r="I8" s="234"/>
    </row>
    <row r="9" spans="2:11" ht="15">
      <c r="B9" s="264" t="str">
        <f>CHOOSE(langue,TradResult!A25,TradResult!B25)</f>
        <v>Allocation de foyer</v>
      </c>
      <c r="C9" s="265"/>
      <c r="D9" s="265"/>
      <c r="E9" s="265"/>
      <c r="F9" s="273"/>
      <c r="G9" s="230">
        <f>IF(AND(Household,NOT(AND(Parental,PartTime=0%))),ahousehold_rateN*G7+aHousehold_minN,)</f>
        <v>0</v>
      </c>
      <c r="H9" s="234"/>
      <c r="I9" s="234"/>
      <c r="K9" s="235" t="s">
        <v>399</v>
      </c>
    </row>
    <row r="10" spans="2:9" ht="15">
      <c r="B10" s="264" t="str">
        <f>CHOOSE(langue,TradResult!A26,TradResult!B26)</f>
        <v>Allocation enfants à charge</v>
      </c>
      <c r="C10" s="265"/>
      <c r="D10" s="274"/>
      <c r="E10" s="266"/>
      <c r="F10" s="273"/>
      <c r="G10" s="230">
        <f>Children*aChildren_flatN</f>
        <v>0</v>
      </c>
      <c r="H10" s="234"/>
      <c r="I10" s="234"/>
    </row>
    <row r="11" spans="2:9" ht="15">
      <c r="B11" s="264" t="str">
        <f>CHOOSE(langue,TradResult!A27,TradResult!B27)</f>
        <v>Allocation scolaire</v>
      </c>
      <c r="C11" s="265"/>
      <c r="D11" s="274"/>
      <c r="E11" s="266"/>
      <c r="F11" s="273"/>
      <c r="G11" s="230">
        <f>SUMPRODUCT(School,scoTab_N)</f>
        <v>0</v>
      </c>
      <c r="H11" s="234"/>
      <c r="I11" s="234"/>
    </row>
    <row r="12" spans="2:9" ht="15">
      <c r="B12" s="264" t="str">
        <f>CHOOSE(langue,TradResult!A28,TradResult!B28)</f>
        <v>Indemnité dépaysement</v>
      </c>
      <c r="C12" s="265"/>
      <c r="D12" s="266"/>
      <c r="E12" s="265"/>
      <c r="F12" s="273"/>
      <c r="G12" s="230">
        <f>IF(AND(Expat,NOT(AND(Parental,PartTime=0%))),Expat*MAX(aExpatriation_rateN*(G7+G9+G10),PartTime*aExpatriation_minN),)</f>
        <v>0</v>
      </c>
      <c r="H12" s="234"/>
      <c r="I12" s="234"/>
    </row>
    <row r="13" spans="2:9" ht="15">
      <c r="B13" s="264" t="str">
        <f>CHOOSE(langue,TradResult!A29,TradResult!B29)</f>
        <v>Coefficient correcteur</v>
      </c>
      <c r="C13" s="265"/>
      <c r="D13" s="276">
        <f>VLOOKUP(Place,CCtabN,2,FALSE)/100</f>
        <v>1</v>
      </c>
      <c r="E13" s="265" t="str">
        <f>CHOOSE(langue,TradResult!A19,TradResult!B19)&amp;Place</f>
        <v>affecté en BE</v>
      </c>
      <c r="F13" s="273"/>
      <c r="G13" s="230">
        <f>(G7+SUM(G9:G12)+SUM(G14:G20)+SUM(G22:G22)+G26)*(C.C.-1)</f>
        <v>0</v>
      </c>
      <c r="H13" s="234"/>
      <c r="I13" s="234"/>
    </row>
    <row r="14" spans="2:10" ht="15">
      <c r="B14" s="264" t="str">
        <f>CHOOSE(langue,TradResult!A30,TradResult!B30)</f>
        <v>Cotisation pension</v>
      </c>
      <c r="C14" s="265"/>
      <c r="D14" s="277">
        <f>cPension_rateN</f>
        <v>0.101</v>
      </c>
      <c r="E14" s="266"/>
      <c r="F14" s="273"/>
      <c r="G14" s="230">
        <f>IF(AND(PensionFull,NOT(Parental)),-cPension_rateN*fullTimeN,-cPension_rateN*G7)</f>
        <v>-230.06</v>
      </c>
      <c r="H14" s="234"/>
      <c r="I14" s="234"/>
      <c r="J14" s="260"/>
    </row>
    <row r="15" spans="2:9" ht="15">
      <c r="B15" s="264" t="str">
        <f>CHOOSE(langue,TradResult!A31,TradResult!B31)</f>
        <v>Cotisation assurance maladie</v>
      </c>
      <c r="C15" s="265"/>
      <c r="D15" s="265"/>
      <c r="E15" s="265"/>
      <c r="F15" s="273"/>
      <c r="G15" s="230">
        <f>IF(Parental,-cSicknes_rateN*G7,-cSicknes_rateN*fullTimeN)</f>
        <v>-38.72</v>
      </c>
      <c r="H15" s="234"/>
      <c r="I15" s="234"/>
    </row>
    <row r="16" spans="2:9" ht="15">
      <c r="B16" s="264" t="str">
        <f>CHOOSE(langue,TradResult!A32,TradResult!B32)</f>
        <v>Cotisation assurance accident</v>
      </c>
      <c r="C16" s="265"/>
      <c r="D16" s="265"/>
      <c r="E16" s="265"/>
      <c r="F16" s="273"/>
      <c r="G16" s="230">
        <f>IF(Parental,-cAccident_rateN*G7,-cAccident_rateN*fullTimeN)</f>
        <v>-2.28</v>
      </c>
      <c r="H16" s="234"/>
      <c r="I16" s="234"/>
    </row>
    <row r="17" spans="2:9" ht="15">
      <c r="B17" s="264" t="str">
        <f>CHOOSE(langue,TradResult!A33,TradResult!B33)</f>
        <v>Relex: assurance maladie complémentaire</v>
      </c>
      <c r="C17" s="265"/>
      <c r="D17" s="265"/>
      <c r="E17" s="265"/>
      <c r="F17" s="273"/>
      <c r="G17" s="230">
        <f>IF(CompIns,-cCompIns*fullTimeN,)</f>
        <v>0</v>
      </c>
      <c r="H17" s="234"/>
      <c r="I17" s="234"/>
    </row>
    <row r="18" spans="2:9" ht="15">
      <c r="B18" s="264" t="str">
        <f>CHOOSE(langue,TradResult!A34,TradResult!B34)</f>
        <v>Relex: assurance accident personnes à charge</v>
      </c>
      <c r="C18" s="265"/>
      <c r="D18" s="265"/>
      <c r="E18" s="265"/>
      <c r="F18" s="273"/>
      <c r="G18" s="230">
        <f>IF(DepIns,-cDepIns*fullTimeN,)</f>
        <v>0</v>
      </c>
      <c r="H18" s="234"/>
      <c r="I18" s="234"/>
    </row>
    <row r="19" spans="2:9" ht="15">
      <c r="B19" s="264" t="str">
        <f>CHOOSE(langue,TradResult!A35,TradResult!B35)</f>
        <v>Relex: indemnité conditions de vie</v>
      </c>
      <c r="C19" s="265"/>
      <c r="D19" s="265"/>
      <c r="E19" s="265"/>
      <c r="F19" s="273"/>
      <c r="G19" s="230">
        <f>(G7+G9+G10+G12+G14+G15+G16+G17+G18+G21+G22+G26)*LivCond</f>
        <v>0</v>
      </c>
      <c r="H19" s="234"/>
      <c r="I19" s="234"/>
    </row>
    <row r="20" spans="2:9" ht="15">
      <c r="B20" s="264" t="str">
        <f>CHOOSE(langue,TradResult!A36,TradResult!B36)</f>
        <v>Relex: indemnité conditions de vie difficiles</v>
      </c>
      <c r="C20" s="265"/>
      <c r="D20" s="265"/>
      <c r="E20" s="265"/>
      <c r="F20" s="273"/>
      <c r="G20" s="230">
        <f>(G7+G9+G10+G12+G14+G15+G16+G17+G18+G21+G22+G26)*DifLivCond</f>
        <v>0</v>
      </c>
      <c r="H20" s="234"/>
      <c r="I20" s="234"/>
    </row>
    <row r="21" spans="2:9" ht="15">
      <c r="B21" s="264" t="str">
        <f>CHOOSE(langue,TradResult!A37,TradResult!B37)</f>
        <v>Impôt</v>
      </c>
      <c r="C21" s="265"/>
      <c r="D21" s="265"/>
      <c r="E21" s="265"/>
      <c r="F21" s="273"/>
      <c r="G21" s="230">
        <f>-MIN(IntCalcs!H9,IntCalcs!H10)*C.C.</f>
        <v>0</v>
      </c>
      <c r="H21" s="234"/>
      <c r="I21" s="234"/>
    </row>
    <row r="22" spans="2:9" ht="15">
      <c r="B22" s="264" t="str">
        <f>CHOOSE(langue,TradResult!A40,TradResult!B40)</f>
        <v>Cotisation chômage</v>
      </c>
      <c r="C22" s="265"/>
      <c r="D22" s="265"/>
      <c r="E22" s="265"/>
      <c r="F22" s="273"/>
      <c r="G22" s="230">
        <f>IF(Parental,-cUnemploy_rateN*(fullTimeN-cUnemp_abateN)*DataInput!C6,-cUnemploy_rateN*(fullTimeN-cUnemp_abateN))</f>
        <v>-9.35</v>
      </c>
      <c r="H22" s="234"/>
      <c r="I22" s="234"/>
    </row>
    <row r="23" spans="2:9" ht="15">
      <c r="B23" s="264" t="str">
        <f>CHOOSE(langue,TradResult!A41,TradResult!B41)</f>
        <v>Autres paiements (a. scolaire non forfaitaire)</v>
      </c>
      <c r="C23" s="265"/>
      <c r="D23" s="265"/>
      <c r="E23" s="265"/>
      <c r="F23" s="273"/>
      <c r="G23" s="230">
        <f>DataInput!D22</f>
        <v>0</v>
      </c>
      <c r="H23" s="234"/>
      <c r="I23" s="234"/>
    </row>
    <row r="24" spans="2:9" ht="15">
      <c r="B24" s="264" t="str">
        <f>CHOOSE(langue,TradResult!A42,TradResult!B42)</f>
        <v>Autres retenues (alloc.  perçues par ailleurs)</v>
      </c>
      <c r="C24" s="265"/>
      <c r="D24" s="265"/>
      <c r="E24" s="265"/>
      <c r="F24" s="273"/>
      <c r="G24" s="230">
        <f>DataInput!D23</f>
        <v>0</v>
      </c>
      <c r="H24" s="234"/>
      <c r="I24" s="234"/>
    </row>
    <row r="25" spans="2:9" ht="15">
      <c r="B25" s="264" t="str">
        <f>CHOOSE(langue,TradResult!A43,TradResult!B43)</f>
        <v>Coefficient correcteur autres</v>
      </c>
      <c r="C25" s="265"/>
      <c r="D25" s="276">
        <f>VLOOKUP(Place,CCtabN,2,FALSE)/100</f>
        <v>1</v>
      </c>
      <c r="E25" s="266"/>
      <c r="F25" s="273"/>
      <c r="G25" s="230">
        <f>SUM(G23:G24)*(C.C.-1)</f>
        <v>0</v>
      </c>
      <c r="H25" s="234"/>
      <c r="I25" s="234"/>
    </row>
    <row r="26" spans="2:10" ht="15">
      <c r="B26" s="267" t="str">
        <f>CHOOSE(langue,TradResult!A44,TradResult!B44)</f>
        <v>Prélèvement spécial</v>
      </c>
      <c r="C26" s="268"/>
      <c r="D26" s="278">
        <f>TempContrRateN</f>
        <v>0.06</v>
      </c>
      <c r="E26" s="279"/>
      <c r="F26" s="270"/>
      <c r="G26" s="231">
        <f>-FLOOR(TempContrRateN*MAX(G7-IntCalcs!H7-IntCalcs!H12-MinVital_N,0),0.01)</f>
        <v>0</v>
      </c>
      <c r="H26" s="234"/>
      <c r="I26" s="234"/>
      <c r="J26" s="275"/>
    </row>
    <row r="27" spans="2:9" ht="15">
      <c r="B27" s="280" t="s">
        <v>84</v>
      </c>
      <c r="C27" s="281"/>
      <c r="D27" s="281"/>
      <c r="E27" s="281"/>
      <c r="F27" s="282"/>
      <c r="G27" s="233">
        <f>SUM(G7:G26)</f>
        <v>1997.38</v>
      </c>
      <c r="H27" s="234"/>
      <c r="I27" s="234"/>
    </row>
    <row r="28" spans="2:9" ht="15">
      <c r="B28" s="280" t="str">
        <f>CHOOSE(langue,TradResult!A52,TradResult!B52)</f>
        <v>Taux de change</v>
      </c>
      <c r="C28" s="281"/>
      <c r="D28" s="281"/>
      <c r="E28" s="281"/>
      <c r="F28" s="282"/>
      <c r="G28" s="600">
        <f>+database!AK2</f>
        <v>1</v>
      </c>
      <c r="H28" s="234"/>
      <c r="I28" s="234"/>
    </row>
    <row r="29" spans="2:9" ht="15">
      <c r="B29" s="280" t="str">
        <f>CHOOSE(langue,TradResult!B53,TradResult!B53)</f>
        <v>Rémunération en devise</v>
      </c>
      <c r="C29" s="281"/>
      <c r="D29" s="281"/>
      <c r="E29" s="281"/>
      <c r="F29" s="282" t="str">
        <f>database!AL2</f>
        <v>EUR</v>
      </c>
      <c r="G29" s="233">
        <f>+G27*G28</f>
        <v>1997.38</v>
      </c>
      <c r="H29" s="234"/>
      <c r="I29" s="234"/>
    </row>
    <row r="30" s="234" customFormat="1" ht="15">
      <c r="G30" s="318"/>
    </row>
    <row r="31" spans="2:7" ht="27.75">
      <c r="B31" s="280" t="str">
        <f>CHOOSE(langue,TradResult!A69,TradResult!B69)</f>
        <v>Transfert</v>
      </c>
      <c r="C31" s="229" t="s">
        <v>64</v>
      </c>
      <c r="D31" s="606" t="str">
        <f>CHOOSE(langue,TradResult!A63,TradResult!B63)</f>
        <v>Montant transféré</v>
      </c>
      <c r="E31" s="607" t="str">
        <f>CHOOSE(langue,TradResult!A52,TradResult!B52)</f>
        <v>Taux de change</v>
      </c>
      <c r="F31" s="601" t="str">
        <f>CHOOSE(langue,TradResult!A65,TradResult!B65)</f>
        <v>Gain transfert</v>
      </c>
      <c r="G31" s="601" t="str">
        <f>CHOOSE(langue,TradResult!A70,TradResult!B70)</f>
        <v>Total Transfert</v>
      </c>
    </row>
    <row r="32" spans="2:8" ht="15">
      <c r="B32" s="286" t="str">
        <f>CHOOSE(langue,TradResult!A66,TradResult!B66)</f>
        <v>transfert obligatoire</v>
      </c>
      <c r="C32" s="287">
        <f>IF(DataInput!C32=0,,EMtrf0)</f>
        <v>0</v>
      </c>
      <c r="D32" s="288">
        <f>MIN(Trf0,5%*G7*C.C.)</f>
        <v>0</v>
      </c>
      <c r="E32" s="289">
        <f>IF(DataInput!C32=0,,VLOOKUP(EMtrf0,CCtabN,3,FALSE)/100)</f>
        <v>0</v>
      </c>
      <c r="F32" s="608">
        <f>database!AN2</f>
        <v>1</v>
      </c>
      <c r="G32" s="602">
        <f>+D32*E32*F32</f>
        <v>0</v>
      </c>
      <c r="H32" s="603" t="str">
        <f>database!AM2</f>
        <v>EUR</v>
      </c>
    </row>
    <row r="33" spans="2:8" ht="15">
      <c r="B33" s="290" t="str">
        <f>CHOOSE(langue,TradResult!A67,TradResult!B67)</f>
        <v>transfert 1</v>
      </c>
      <c r="C33" s="291">
        <f>IF(DataInput!C34=0,,EMtrf1)</f>
        <v>0</v>
      </c>
      <c r="D33" s="292">
        <f>MIN(Trf1,C.C.*(TrfSco1*ScoAbroad+UnivAbroad*TrfUniv1))</f>
        <v>0</v>
      </c>
      <c r="E33" s="293">
        <f>IF(DataInput!C34=0,,VLOOKUP(EMtrf1,CCtabN,3,FALSE)/100)</f>
        <v>0</v>
      </c>
      <c r="F33" s="609">
        <f>database!AP2</f>
        <v>1</v>
      </c>
      <c r="G33" s="604">
        <f>+D33*E33*F33</f>
        <v>0</v>
      </c>
      <c r="H33" s="603" t="str">
        <f>database!AO2</f>
        <v>EUR</v>
      </c>
    </row>
    <row r="34" spans="2:8" ht="15">
      <c r="B34" s="294" t="str">
        <f>CHOOSE(langue,TradResult!A68,TradResult!B68)</f>
        <v>transfert 2</v>
      </c>
      <c r="C34" s="295">
        <f>IF(DataInput!C35=0,,EMtrf2)</f>
        <v>0</v>
      </c>
      <c r="D34" s="296">
        <f>MIN(Trf2,C.C.*(TrfSco2*ScoAbroad+UnivAbroad*TrfUniv2))</f>
        <v>0</v>
      </c>
      <c r="E34" s="297">
        <f>IF(DataInput!C35=0,,VLOOKUP(EMtrf2,CCtabN,3,FALSE)/100)</f>
        <v>0</v>
      </c>
      <c r="F34" s="610">
        <f>database!AR2</f>
        <v>1</v>
      </c>
      <c r="G34" s="605">
        <f>+D34*E34*F34</f>
        <v>0</v>
      </c>
      <c r="H34" s="611" t="str">
        <f>database!AQ2</f>
        <v>EUR</v>
      </c>
    </row>
    <row r="35" spans="2:7" ht="15">
      <c r="B35" s="284"/>
      <c r="C35" s="298"/>
      <c r="D35" s="299"/>
      <c r="E35" s="300"/>
      <c r="F35" s="236"/>
      <c r="G35" s="236"/>
    </row>
    <row r="36" spans="2:4" ht="15">
      <c r="B36" s="368"/>
      <c r="C36" s="274"/>
      <c r="D36" s="283"/>
    </row>
    <row r="37" spans="2:7" ht="15">
      <c r="B37" s="368"/>
      <c r="C37" s="274"/>
      <c r="D37" s="283"/>
      <c r="G37" s="237"/>
    </row>
    <row r="38" spans="4:5" ht="15">
      <c r="D38" s="314" t="str">
        <f>CHOOSE(langue,TradResult!A73,TradResult!B73)</f>
        <v>Montant annuel</v>
      </c>
      <c r="E38" s="234"/>
    </row>
    <row r="39" spans="2:4" ht="15">
      <c r="B39" s="284" t="str">
        <f>CHOOSE(langue,TradResult!A72,TradResult!B72)</f>
        <v>Voyage annuel</v>
      </c>
      <c r="C39" s="284"/>
      <c r="D39" s="285">
        <f>TripNum*parameters!N44</f>
        <v>0</v>
      </c>
    </row>
    <row r="40" spans="6:7" ht="15">
      <c r="F40" s="369"/>
      <c r="G40" s="367"/>
    </row>
    <row r="41" spans="3:7" ht="15">
      <c r="C41" s="301"/>
      <c r="F41" s="369"/>
      <c r="G41" s="367"/>
    </row>
    <row r="42" spans="2:7" ht="15">
      <c r="B42" s="301" t="str">
        <f>CHOOSE(langue,TradResult!A88,TradResult!B88)</f>
        <v>Ce calcul est fourni à titre informatif et ne constitue pas un droit.</v>
      </c>
      <c r="G42" s="261" t="str">
        <f>CHOOSE(langue,TradResult!$A$79,TradResult!$B$79)</f>
        <v>--&gt; Données</v>
      </c>
    </row>
  </sheetData>
  <sheetProtection password="CF11" sheet="1"/>
  <hyperlinks>
    <hyperlink ref="G1" location="DataInput!A1" display="DataInput!A1"/>
    <hyperlink ref="G42" location="DataInput!A1" display="DataInput!A1"/>
  </hyperlink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5" r:id="rId1"/>
  <headerFooter alignWithMargins="0">
    <oddFooter>&amp;R&amp;8&amp;Z&amp;F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.00390625" style="0" customWidth="1"/>
    <col min="4" max="4" width="9.57421875" style="0" customWidth="1"/>
    <col min="7" max="7" width="13.8515625" style="0" customWidth="1"/>
  </cols>
  <sheetData>
    <row r="3" spans="2:7" ht="15">
      <c r="B3" s="505" t="str">
        <f>CHOOSE(langue,TradResult!A15,TradResult!B15)</f>
        <v>Rémunération mensuelle </v>
      </c>
      <c r="C3" s="506"/>
      <c r="D3" s="506"/>
      <c r="E3" s="506"/>
      <c r="F3" s="506"/>
      <c r="G3" s="507"/>
    </row>
    <row r="4" spans="2:7" ht="15">
      <c r="B4" s="508" t="str">
        <f>CHOOSE(langue,TradResult!A17,TradResult!B17)</f>
        <v>Grade Echelon</v>
      </c>
      <c r="C4" s="509"/>
      <c r="D4" s="510"/>
      <c r="E4" s="511"/>
      <c r="F4" s="534"/>
      <c r="G4" s="538" t="str">
        <f>Result!E4</f>
        <v>1 / 1</v>
      </c>
    </row>
    <row r="5" spans="2:7" ht="15">
      <c r="B5" s="512" t="str">
        <f>CHOOSE(langue,TradResult!A18,TradResult!B18)</f>
        <v>Salaire grille</v>
      </c>
      <c r="C5" s="513"/>
      <c r="D5" s="514"/>
      <c r="E5" s="513"/>
      <c r="F5" s="515"/>
      <c r="G5" s="539">
        <f>fullTimeN</f>
        <v>2277.79</v>
      </c>
    </row>
    <row r="6" spans="2:7" ht="15">
      <c r="B6" s="516" t="str">
        <f>CHOOSE(langue,TradResult!A23,TradResult!B23)</f>
        <v>Traitement de base</v>
      </c>
      <c r="C6" s="517"/>
      <c r="D6" s="518"/>
      <c r="E6" s="519"/>
      <c r="F6" s="535"/>
      <c r="G6" s="520">
        <f>Result!G7</f>
        <v>2277.79</v>
      </c>
    </row>
    <row r="7" spans="2:7" ht="15">
      <c r="B7" s="521" t="str">
        <f>CHOOSE(langue,TradResult!A24,TradResult!B24)</f>
        <v>Allocation congé parental / familial</v>
      </c>
      <c r="C7" s="559"/>
      <c r="D7" s="560"/>
      <c r="E7" s="561"/>
      <c r="F7" s="562"/>
      <c r="G7" s="523">
        <f>Result!G8</f>
        <v>0</v>
      </c>
    </row>
    <row r="8" spans="2:7" ht="15">
      <c r="B8" s="521" t="str">
        <f>CHOOSE(langue,TradResult!A25,TradResult!B25)</f>
        <v>Allocation de foyer</v>
      </c>
      <c r="C8" s="522"/>
      <c r="D8" s="522"/>
      <c r="E8" s="522"/>
      <c r="F8" s="536"/>
      <c r="G8" s="523">
        <f>Result!G9</f>
        <v>0</v>
      </c>
    </row>
    <row r="9" spans="2:7" ht="15">
      <c r="B9" s="521" t="str">
        <f>CHOOSE(langue,TradResult!A106,TradResult!B106)</f>
        <v>Allocation scolaire &amp; enfants à charge</v>
      </c>
      <c r="C9" s="522"/>
      <c r="D9" s="522"/>
      <c r="E9" s="522"/>
      <c r="F9" s="536"/>
      <c r="G9" s="523">
        <f>Result!G10+Result!G11</f>
        <v>0</v>
      </c>
    </row>
    <row r="10" spans="2:7" ht="15">
      <c r="B10" s="521" t="str">
        <f>CHOOSE(langue,TradResult!A28,TradResult!B28)</f>
        <v>Indemnité dépaysement</v>
      </c>
      <c r="C10" s="522"/>
      <c r="D10" s="524"/>
      <c r="E10" s="522"/>
      <c r="F10" s="536"/>
      <c r="G10" s="523">
        <f>Result!G12</f>
        <v>0</v>
      </c>
    </row>
    <row r="11" spans="2:7" ht="15">
      <c r="B11" s="521" t="str">
        <f>CHOOSE(langue,TradResult!A29,TradResult!B29)</f>
        <v>Coefficient correcteur</v>
      </c>
      <c r="C11" s="522"/>
      <c r="D11" s="532"/>
      <c r="E11" s="533"/>
      <c r="F11" s="524"/>
      <c r="G11" s="523">
        <f>Result!G13</f>
        <v>0</v>
      </c>
    </row>
    <row r="12" spans="2:7" ht="15">
      <c r="B12" s="521" t="str">
        <f>CHOOSE(langue,TradResult!A104,TradResult!B104)</f>
        <v>Pension, maladie, accident</v>
      </c>
      <c r="C12" s="522"/>
      <c r="D12" s="525"/>
      <c r="E12" s="524"/>
      <c r="F12" s="536"/>
      <c r="G12" s="523">
        <f>Result!G14+Result!G15+Result!G16</f>
        <v>-271.06</v>
      </c>
    </row>
    <row r="13" spans="2:7" ht="15">
      <c r="B13" s="521" t="str">
        <f>CHOOSE(langue,TradResult!A37,TradResult!B37)</f>
        <v>Impôt</v>
      </c>
      <c r="C13" s="522"/>
      <c r="D13" s="522"/>
      <c r="E13" s="522"/>
      <c r="F13" s="536"/>
      <c r="G13" s="523">
        <f>Result!G21</f>
        <v>0</v>
      </c>
    </row>
    <row r="14" spans="2:7" ht="15">
      <c r="B14" s="521" t="str">
        <f>CHOOSE(langue,TradResult!A44,TradResult!B44)</f>
        <v>Prélèvement spécial</v>
      </c>
      <c r="C14" s="522"/>
      <c r="D14" s="532"/>
      <c r="E14" s="533"/>
      <c r="F14" s="524"/>
      <c r="G14" s="523">
        <f>Result!G26</f>
        <v>0</v>
      </c>
    </row>
    <row r="15" spans="2:7" ht="15">
      <c r="B15" s="521" t="str">
        <f>CHOOSE(langue,TradResult!A105,TradResult!B105)</f>
        <v>Autres</v>
      </c>
      <c r="C15" s="526"/>
      <c r="D15" s="527"/>
      <c r="E15" s="528"/>
      <c r="F15" s="537"/>
      <c r="G15" s="529">
        <f>G16-SUM(G6:G14)</f>
        <v>-9.35</v>
      </c>
    </row>
    <row r="16" spans="2:7" ht="15">
      <c r="B16" s="530" t="str">
        <f>CHOOSE(langue,TradResult!A51,TradResult!B51)</f>
        <v>Rémunération nette €</v>
      </c>
      <c r="C16" s="531"/>
      <c r="D16" s="531"/>
      <c r="E16" s="531"/>
      <c r="F16" s="531"/>
      <c r="G16" s="540">
        <f>Result!G27</f>
        <v>1997.38</v>
      </c>
    </row>
    <row r="19" ht="13.5" thickBot="1"/>
    <row r="20" spans="2:7" ht="26.25">
      <c r="B20" s="654" t="str">
        <f>CHOOSE(langue,TradResult!A108,TradResult!B108)</f>
        <v>Nombre de kilomètres</v>
      </c>
      <c r="C20" s="655"/>
      <c r="D20" s="655"/>
      <c r="E20" s="655" t="s">
        <v>595</v>
      </c>
      <c r="F20" s="656" t="s">
        <v>596</v>
      </c>
      <c r="G20" s="657" t="str">
        <f>CHOOSE(langue,TradResult!A109,TradResult!B109)</f>
        <v>Répartition de paiement</v>
      </c>
    </row>
    <row r="21" spans="2:7" ht="12.75">
      <c r="B21" s="658" t="str">
        <f>CHOOSE(langue,TradResult!A110,TradResult!B110)&amp;"       0-200 Km"</f>
        <v>Voyage annuel       0-200 Km</v>
      </c>
      <c r="C21" s="659"/>
      <c r="D21" s="659"/>
      <c r="E21" s="659">
        <f>IF(TripKM-parameters!L48&gt;=0,parameters!L48,TripKM)</f>
        <v>0</v>
      </c>
      <c r="F21" s="660">
        <f>Param_Calculette!B17</f>
        <v>0</v>
      </c>
      <c r="G21" s="661">
        <f>F21*E21</f>
        <v>0</v>
      </c>
    </row>
    <row r="22" spans="2:7" ht="12.75">
      <c r="B22" s="662" t="str">
        <f>CHOOSE(langue,TradResult!A110,TradResult!B110)&amp;"   201-1000 Km"</f>
        <v>Voyage annuel   201-1000 Km</v>
      </c>
      <c r="C22" s="663"/>
      <c r="D22" s="663"/>
      <c r="E22" s="679">
        <f>IF(TripKM-parameters!L49&gt;=0,MAX(parameters!L49-parameters!L48,0),MAX(TripKM-parameters!L48,0))</f>
        <v>0</v>
      </c>
      <c r="F22" s="664">
        <f>Param_Calculette!B18</f>
        <v>0.4672</v>
      </c>
      <c r="G22" s="665">
        <f aca="true" t="shared" si="0" ref="G22:G27">F22*E22</f>
        <v>0</v>
      </c>
    </row>
    <row r="23" spans="2:7" ht="12.75">
      <c r="B23" s="658" t="str">
        <f>CHOOSE(langue,TradResult!A110,TradResult!B110)&amp;" 1001-2000 Km"</f>
        <v>Voyage annuel 1001-2000 Km</v>
      </c>
      <c r="C23" s="659"/>
      <c r="D23" s="659"/>
      <c r="E23" s="659">
        <f>IF(TripKM-parameters!L50&gt;=0,MAX(parameters!L50-parameters!L49,0),MAX(TripKM-parameters!L49,0))</f>
        <v>0</v>
      </c>
      <c r="F23" s="660">
        <f>Param_Calculette!B19</f>
        <v>0.7787</v>
      </c>
      <c r="G23" s="666">
        <f t="shared" si="0"/>
        <v>0</v>
      </c>
    </row>
    <row r="24" spans="2:7" ht="12.75">
      <c r="B24" s="662" t="str">
        <f>CHOOSE(langue,TradResult!A110,TradResult!B110)&amp;" 2001-3000 Km"</f>
        <v>Voyage annuel 2001-3000 Km</v>
      </c>
      <c r="C24" s="663"/>
      <c r="D24" s="663"/>
      <c r="E24" s="679">
        <f>IF(TripKM-parameters!L51&gt;=0,MAX(parameters!L51-parameters!L50,0),MAX(TripKM-parameters!L50,0))</f>
        <v>0</v>
      </c>
      <c r="F24" s="664">
        <f>Param_Calculette!B20</f>
        <v>0.4672</v>
      </c>
      <c r="G24" s="665">
        <f t="shared" si="0"/>
        <v>0</v>
      </c>
    </row>
    <row r="25" spans="2:7" ht="12.75">
      <c r="B25" s="658" t="str">
        <f>CHOOSE(langue,TradResult!A110,TradResult!B110)&amp;" 3001-4000 Km"</f>
        <v>Voyage annuel 3001-4000 Km</v>
      </c>
      <c r="C25" s="659"/>
      <c r="D25" s="659"/>
      <c r="E25" s="659">
        <f>IF(TripKM-parameters!L52&gt;=0,MAX(parameters!L52-parameters!L51,0),MAX(TripKM-parameters!L51,0))</f>
        <v>0</v>
      </c>
      <c r="F25" s="660">
        <f>Param_Calculette!B21</f>
        <v>0.1556</v>
      </c>
      <c r="G25" s="666">
        <f t="shared" si="0"/>
        <v>0</v>
      </c>
    </row>
    <row r="26" spans="2:7" ht="12.75">
      <c r="B26" s="662" t="str">
        <f>CHOOSE(langue,TradResult!A110,TradResult!B110)&amp;" 4001-10000 Km"</f>
        <v>Voyage annuel 4001-10000 Km</v>
      </c>
      <c r="C26" s="663"/>
      <c r="D26" s="663"/>
      <c r="E26" s="679">
        <f>IF(TripKM-parameters!L53&gt;=0,MAX(parameters!L53-parameters!L52,0),MAX(TripKM-parameters!L52,0))</f>
        <v>0</v>
      </c>
      <c r="F26" s="664">
        <f>Param_Calculette!B22</f>
        <v>0.0751</v>
      </c>
      <c r="G26" s="665">
        <f t="shared" si="0"/>
        <v>0</v>
      </c>
    </row>
    <row r="27" spans="2:7" ht="12.75">
      <c r="B27" s="658" t="str">
        <f>CHOOSE(langue,TradResult!A110,TradResult!B110)&amp;" &gt;10000 Km"</f>
        <v>Voyage annuel &gt;10000 Km</v>
      </c>
      <c r="C27" s="659"/>
      <c r="D27" s="659"/>
      <c r="E27" s="667">
        <f>MAX(TripKM-parameters!L53,0)</f>
        <v>0</v>
      </c>
      <c r="F27" s="660">
        <f>Param_Calculette!B23</f>
        <v>0</v>
      </c>
      <c r="G27" s="666">
        <f t="shared" si="0"/>
        <v>0</v>
      </c>
    </row>
    <row r="28" spans="2:7" ht="12.75">
      <c r="B28" s="662"/>
      <c r="C28" s="663"/>
      <c r="D28" s="663"/>
      <c r="E28" s="663"/>
      <c r="F28" s="663"/>
      <c r="G28" s="665"/>
    </row>
    <row r="29" spans="2:7" ht="12.75">
      <c r="B29" s="658" t="str">
        <f>CHOOSE(langue,TradResult!A111,TradResult!B111)&amp;" 600-1200 Km"</f>
        <v>Bonus voyage annuel 600-1200 Km</v>
      </c>
      <c r="C29" s="659"/>
      <c r="D29" s="659"/>
      <c r="E29" s="659"/>
      <c r="F29" s="660"/>
      <c r="G29" s="666">
        <f>IF(AND(TripKM&gt;=parameters!M57,TripKM&lt;parameters!M58),Param_Calculette!B25,0)</f>
        <v>0</v>
      </c>
    </row>
    <row r="30" spans="2:7" ht="12.75">
      <c r="B30" s="662" t="str">
        <f>CHOOSE(langue,TradResult!A111,TradResult!B111)&amp;" &gt;1200 Km"</f>
        <v>Bonus voyage annuel &gt;1200 Km</v>
      </c>
      <c r="C30" s="663"/>
      <c r="D30" s="663"/>
      <c r="E30" s="663"/>
      <c r="F30" s="663"/>
      <c r="G30" s="665">
        <f>IF(TripKM&gt;parameters!M58,Param_Calculette!B26,0)</f>
        <v>0</v>
      </c>
    </row>
    <row r="31" spans="2:7" ht="12.75">
      <c r="B31" s="668"/>
      <c r="C31" s="669"/>
      <c r="D31" s="669"/>
      <c r="E31" s="669"/>
      <c r="F31" s="660"/>
      <c r="G31" s="670"/>
    </row>
    <row r="32" spans="2:7" ht="13.5" thickBot="1">
      <c r="B32" s="671" t="str">
        <f>CHOOSE(langue,TradResult!A112&amp;" 1 "&amp;TradResult!A113,TradResult!B112&amp;" 1 "&amp;TradResult!B113)</f>
        <v>Frais de voyage annuel pour 1 unité:</v>
      </c>
      <c r="C32" s="672"/>
      <c r="D32" s="673"/>
      <c r="E32" s="673"/>
      <c r="F32" s="673"/>
      <c r="G32" s="674">
        <f>SUM(G21:G30)</f>
        <v>0</v>
      </c>
    </row>
    <row r="34" spans="2:7" ht="12.75">
      <c r="B34" s="675" t="str">
        <f>CHOOSE(langue,TradResult!A112&amp;" "&amp;TripNum&amp;" "&amp;TradResult!A114,TradResult!B112&amp;" "&amp;TripNum&amp;" "&amp;TradResult!B113)</f>
        <v>Frais de voyage annuel pour 0 unité:</v>
      </c>
      <c r="C34" s="676"/>
      <c r="D34" s="677"/>
      <c r="E34" s="676"/>
      <c r="G34" s="678">
        <f>G32*TripNum</f>
        <v>0</v>
      </c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:J1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4" width="2.140625" style="0" customWidth="1"/>
    <col min="5" max="5" width="9.57421875" style="0" customWidth="1"/>
    <col min="7" max="7" width="19.140625" style="0" customWidth="1"/>
    <col min="8" max="8" width="18.8515625" style="0" customWidth="1"/>
    <col min="10" max="10" width="12.140625" style="0" customWidth="1"/>
  </cols>
  <sheetData>
    <row r="1" spans="5:10" ht="12.75">
      <c r="E1" s="307" t="str">
        <f>CHOOSE(langue,TradResult!A3,TradResult!B3)</f>
        <v>Transition 1/05/04 </v>
      </c>
      <c r="F1" s="308"/>
      <c r="G1" s="308"/>
      <c r="H1" s="309" t="str">
        <f>CHOOSE(langue,TradResult!A17,TradResult!B17)</f>
        <v>Grade Echelon</v>
      </c>
      <c r="I1" s="310"/>
      <c r="J1" s="311" t="s">
        <v>379</v>
      </c>
    </row>
    <row r="2" spans="5:10" ht="13.5" thickBot="1">
      <c r="E2" s="571" t="s">
        <v>503</v>
      </c>
      <c r="F2" s="572"/>
      <c r="G2" s="573"/>
      <c r="H2" s="574" t="str">
        <f>GradeN&amp;" / "&amp;StepN</f>
        <v>1 / 1</v>
      </c>
      <c r="I2" s="575"/>
      <c r="J2" s="576">
        <f>VLOOKUP(GradeN,grilleN,1+StepN,FALSE)</f>
        <v>2277.79</v>
      </c>
    </row>
    <row r="3" spans="5:10" ht="12.75">
      <c r="E3" s="305"/>
      <c r="F3" s="305"/>
      <c r="G3" s="306"/>
      <c r="H3" s="304"/>
      <c r="I3" s="13"/>
      <c r="J3" s="312"/>
    </row>
    <row r="4" spans="5:10" ht="12.75">
      <c r="E4" s="305"/>
      <c r="F4" s="305"/>
      <c r="G4" s="306"/>
      <c r="H4" s="304"/>
      <c r="I4" s="13"/>
      <c r="J4" s="312"/>
    </row>
    <row r="5" s="2" customFormat="1" ht="14.25" thickBot="1">
      <c r="E5" s="2" t="s">
        <v>283</v>
      </c>
    </row>
    <row r="6" spans="5:8" s="2" customFormat="1" ht="15">
      <c r="E6" s="102" t="s">
        <v>48</v>
      </c>
      <c r="F6" s="103"/>
      <c r="G6" s="104"/>
      <c r="H6" s="361" t="s">
        <v>359</v>
      </c>
    </row>
    <row r="7" spans="5:8" s="2" customFormat="1" ht="13.5">
      <c r="E7" s="97" t="s">
        <v>147</v>
      </c>
      <c r="F7" s="14"/>
      <c r="G7" s="14"/>
      <c r="H7" s="226">
        <f>-SUM(Result!G14:G18)-Result!G22</f>
        <v>280.41</v>
      </c>
    </row>
    <row r="8" spans="5:8" s="2" customFormat="1" ht="13.5">
      <c r="E8" s="98" t="s">
        <v>44</v>
      </c>
      <c r="F8" s="13"/>
      <c r="G8" s="13"/>
      <c r="H8" s="227">
        <f>ROUND(0.9*(Result!G7),2)-ROUND(2*Result!G10,2)-ROUND(H7,2)</f>
        <v>1769.6</v>
      </c>
    </row>
    <row r="9" spans="5:8" s="2" customFormat="1" ht="13.5">
      <c r="E9" s="98" t="s">
        <v>32</v>
      </c>
      <c r="F9" s="13"/>
      <c r="G9" s="13"/>
      <c r="H9" s="223">
        <f>IF(H8&lt;minTaxable,0,FLOOR(((H8-VLOOKUP(H8,de_tab,1)+0.01)*VLOOKUP(H8,de_tab,4))+(VLOOKUP(H8,à_tab,6)),0.01))</f>
        <v>130.73</v>
      </c>
    </row>
    <row r="10" spans="5:8" s="2" customFormat="1" ht="14.25" thickBot="1">
      <c r="E10" s="364" t="s">
        <v>21</v>
      </c>
      <c r="F10" s="365"/>
      <c r="G10" s="365"/>
      <c r="H10" s="366">
        <f>MAX(0,Result!G7+Result!G9+Result!G10+Result!G11+Result!G12-H7-PartTime*H13)</f>
        <v>0</v>
      </c>
    </row>
    <row r="11" spans="5:8" ht="13.5" thickTop="1">
      <c r="E11" s="98" t="s">
        <v>281</v>
      </c>
      <c r="F11" s="13"/>
      <c r="G11" s="13"/>
      <c r="H11" s="227">
        <f>ROUND(0.9*Result!G7,2)-ROUND(H7,2)</f>
        <v>1769.6</v>
      </c>
    </row>
    <row r="12" spans="5:8" ht="12.75">
      <c r="E12" s="98" t="s">
        <v>282</v>
      </c>
      <c r="F12" s="13"/>
      <c r="G12" s="13"/>
      <c r="H12" s="223">
        <f>IF(H11&lt;minTaxable,0,FLOOR(((H11-VLOOKUP(H11,de_tab,1)+0.01)*VLOOKUP(H11,de_tab,4))+(VLOOKUP(H11,à_tab,6)),0.01))</f>
        <v>130.73</v>
      </c>
    </row>
    <row r="13" spans="5:8" ht="14.25" thickBot="1">
      <c r="E13" s="228" t="s">
        <v>331</v>
      </c>
      <c r="F13" s="224"/>
      <c r="G13" s="224"/>
      <c r="H13" s="225">
        <f>MinVital_N</f>
        <v>3271.87</v>
      </c>
    </row>
    <row r="15" spans="5:10" ht="15">
      <c r="E15" s="548"/>
      <c r="F15" s="548"/>
      <c r="G15" s="548"/>
      <c r="H15" s="549"/>
      <c r="J15" s="547"/>
    </row>
    <row r="16" spans="5:8" ht="12.75">
      <c r="E16" s="548"/>
      <c r="F16" s="548"/>
      <c r="G16" s="548"/>
      <c r="H16" s="550"/>
    </row>
    <row r="17" spans="5:8" ht="12.75">
      <c r="E17" s="548"/>
      <c r="F17" s="548"/>
      <c r="G17" s="548"/>
      <c r="H17" s="551"/>
    </row>
    <row r="18" spans="5:8" ht="15">
      <c r="E18" s="548"/>
      <c r="F18" s="548"/>
      <c r="G18" s="548"/>
      <c r="H18" s="552"/>
    </row>
  </sheetData>
  <sheetProtection password="CF11" sheet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PageLayoutView="0" workbookViewId="0" topLeftCell="A7">
      <selection activeCell="U20" sqref="U19:U20"/>
    </sheetView>
  </sheetViews>
  <sheetFormatPr defaultColWidth="9.140625" defaultRowHeight="12.75"/>
  <cols>
    <col min="1" max="1" width="1.421875" style="1" customWidth="1"/>
    <col min="2" max="2" width="12.00390625" style="1" customWidth="1"/>
    <col min="3" max="4" width="9.8515625" style="1" customWidth="1"/>
    <col min="5" max="5" width="11.140625" style="1" customWidth="1"/>
    <col min="6" max="11" width="9.8515625" style="1" customWidth="1"/>
    <col min="12" max="12" width="10.00390625" style="1" customWidth="1"/>
    <col min="13" max="13" width="9.8515625" style="1" customWidth="1"/>
    <col min="14" max="14" width="9.140625" style="1" customWidth="1"/>
    <col min="15" max="15" width="1.57421875" style="1" customWidth="1"/>
    <col min="16" max="16" width="13.8515625" style="1" bestFit="1" customWidth="1"/>
    <col min="17" max="17" width="8.8515625" style="1" customWidth="1"/>
    <col min="18" max="18" width="1.1484375" style="1" customWidth="1"/>
    <col min="19" max="20" width="8.8515625" style="1" customWidth="1"/>
    <col min="21" max="16384" width="9.140625" style="1" customWidth="1"/>
  </cols>
  <sheetData>
    <row r="1" spans="2:15" ht="18.75" thickBot="1">
      <c r="B1" s="12" t="s">
        <v>41</v>
      </c>
      <c r="D1" s="7" t="s">
        <v>43</v>
      </c>
      <c r="E1" s="373">
        <f>Param_Calculette!B2</f>
        <v>44743</v>
      </c>
      <c r="G1" s="789" t="s">
        <v>705</v>
      </c>
      <c r="H1" s="411" t="s">
        <v>706</v>
      </c>
      <c r="I1" s="106"/>
      <c r="J1" s="106"/>
      <c r="K1" s="159"/>
      <c r="O1" s="159"/>
    </row>
    <row r="2" s="3" customFormat="1" ht="12" thickBot="1"/>
    <row r="3" spans="2:17" ht="51">
      <c r="B3" s="490" t="s">
        <v>42</v>
      </c>
      <c r="C3" s="378" t="s">
        <v>39</v>
      </c>
      <c r="D3" s="123" t="s">
        <v>40</v>
      </c>
      <c r="F3" s="906" t="s">
        <v>527</v>
      </c>
      <c r="G3" s="907"/>
      <c r="L3" s="329" t="s">
        <v>59</v>
      </c>
      <c r="M3" s="328" t="s">
        <v>219</v>
      </c>
      <c r="N3" s="399" t="s">
        <v>72</v>
      </c>
      <c r="O3" s="3"/>
      <c r="P3" s="589" t="s">
        <v>24</v>
      </c>
      <c r="Q3" s="590" t="s">
        <v>550</v>
      </c>
    </row>
    <row r="4" spans="2:17" ht="15">
      <c r="B4" s="33" t="s">
        <v>38</v>
      </c>
      <c r="C4" s="379">
        <f>Param_Calculette!B37</f>
        <v>0.16</v>
      </c>
      <c r="D4" s="374">
        <f>Param_Calculette!B6</f>
        <v>623.01</v>
      </c>
      <c r="F4" s="577" t="s">
        <v>540</v>
      </c>
      <c r="G4" s="557">
        <f>Param_Calculette!B27</f>
        <v>1123.908</v>
      </c>
      <c r="L4" s="108" t="s">
        <v>408</v>
      </c>
      <c r="M4" s="394">
        <v>100</v>
      </c>
      <c r="N4" s="397">
        <v>100</v>
      </c>
      <c r="P4" s="591">
        <v>1</v>
      </c>
      <c r="Q4" s="592" t="s">
        <v>551</v>
      </c>
    </row>
    <row r="5" spans="2:17" ht="15">
      <c r="B5" s="10" t="s">
        <v>61</v>
      </c>
      <c r="C5" s="382">
        <f>Param_Calculette!B38</f>
        <v>0.02</v>
      </c>
      <c r="D5" s="388">
        <f>Param_Calculette!B7</f>
        <v>210.2</v>
      </c>
      <c r="F5" s="578" t="s">
        <v>541</v>
      </c>
      <c r="G5" s="558">
        <f>Param_Calculette!B28</f>
        <v>1498.5509</v>
      </c>
      <c r="L5" s="109" t="s">
        <v>409</v>
      </c>
      <c r="M5" s="394">
        <v>100</v>
      </c>
      <c r="N5" s="397">
        <v>100</v>
      </c>
      <c r="P5" s="591">
        <v>1</v>
      </c>
      <c r="Q5" s="593" t="s">
        <v>551</v>
      </c>
    </row>
    <row r="6" spans="2:17" ht="15">
      <c r="B6" s="126" t="s">
        <v>62</v>
      </c>
      <c r="C6" s="380"/>
      <c r="D6" s="375">
        <f>Param_Calculette!B9</f>
        <v>459.32</v>
      </c>
      <c r="L6" s="109" t="s">
        <v>543</v>
      </c>
      <c r="M6" s="394">
        <f>Param_Calculette!E41</f>
        <v>65</v>
      </c>
      <c r="N6" s="397">
        <f>Param_Calculette!F41</f>
        <v>60.9</v>
      </c>
      <c r="P6" s="591">
        <f>Param_Calculette!H41</f>
        <v>1.9558</v>
      </c>
      <c r="Q6" s="593" t="s">
        <v>552</v>
      </c>
    </row>
    <row r="7" spans="2:17" ht="15">
      <c r="B7" s="126" t="s">
        <v>51</v>
      </c>
      <c r="C7" s="384"/>
      <c r="D7" s="375">
        <f>Param_Calculette!B8</f>
        <v>311.65</v>
      </c>
      <c r="L7" s="109" t="s">
        <v>410</v>
      </c>
      <c r="M7" s="394">
        <f>Param_Calculette!E42</f>
        <v>95.5</v>
      </c>
      <c r="N7" s="397">
        <f>Param_Calculette!F42</f>
        <v>82.8</v>
      </c>
      <c r="P7" s="591">
        <f>Param_Calculette!H42</f>
        <v>24.739</v>
      </c>
      <c r="Q7" s="593" t="s">
        <v>553</v>
      </c>
    </row>
    <row r="8" spans="2:17" ht="15">
      <c r="B8" s="383" t="s">
        <v>318</v>
      </c>
      <c r="C8" s="381">
        <f>HLOOKUP($E$1,Param_Calculette!D10:N12,2)</f>
        <v>0.06</v>
      </c>
      <c r="D8" s="376"/>
      <c r="I8" s="127"/>
      <c r="L8" s="109" t="s">
        <v>52</v>
      </c>
      <c r="M8" s="394">
        <f>Param_Calculette!E43</f>
        <v>134.7</v>
      </c>
      <c r="N8" s="397">
        <f>Param_Calculette!F43</f>
        <v>136.5</v>
      </c>
      <c r="P8" s="591">
        <f>Param_Calculette!H43</f>
        <v>7.4392</v>
      </c>
      <c r="Q8" s="593" t="s">
        <v>554</v>
      </c>
    </row>
    <row r="9" spans="2:17" ht="15">
      <c r="B9" s="383" t="s">
        <v>45</v>
      </c>
      <c r="C9" s="381">
        <f>Param_Calculette!B16</f>
        <v>0.101</v>
      </c>
      <c r="D9" s="11"/>
      <c r="I9" s="127"/>
      <c r="L9" s="109" t="s">
        <v>411</v>
      </c>
      <c r="M9" s="394">
        <f>Param_Calculette!E44</f>
        <v>100.6</v>
      </c>
      <c r="N9" s="397">
        <f>Param_Calculette!F44</f>
        <v>100.6</v>
      </c>
      <c r="O9" s="222"/>
      <c r="P9" s="591">
        <v>1</v>
      </c>
      <c r="Q9" s="594" t="s">
        <v>551</v>
      </c>
    </row>
    <row r="10" spans="2:17" ht="15">
      <c r="B10" s="10" t="s">
        <v>46</v>
      </c>
      <c r="C10" s="382">
        <f>Param_Calculette!B33</f>
        <v>0.017</v>
      </c>
      <c r="D10" s="11"/>
      <c r="E10" s="387" t="s">
        <v>124</v>
      </c>
      <c r="F10" s="29" t="s">
        <v>431</v>
      </c>
      <c r="L10" s="109"/>
      <c r="M10" s="394">
        <f>Param_Calculette!E45</f>
        <v>0</v>
      </c>
      <c r="N10" s="397"/>
      <c r="O10" s="474"/>
      <c r="P10" s="591">
        <v>1</v>
      </c>
      <c r="Q10" s="594" t="s">
        <v>551</v>
      </c>
    </row>
    <row r="11" spans="2:17" ht="15">
      <c r="B11" s="10" t="s">
        <v>47</v>
      </c>
      <c r="C11" s="382">
        <f>Param_Calculette!B34</f>
        <v>0.001</v>
      </c>
      <c r="D11" s="377"/>
      <c r="E11" s="401" t="s">
        <v>117</v>
      </c>
      <c r="F11" s="402">
        <f>Param_Calculette!B10</f>
        <v>112.21</v>
      </c>
      <c r="G11" s="31" t="s">
        <v>113</v>
      </c>
      <c r="H11" s="15"/>
      <c r="I11" s="30"/>
      <c r="L11" s="110" t="s">
        <v>54</v>
      </c>
      <c r="M11" s="394">
        <f>Param_Calculette!E46</f>
        <v>95.6</v>
      </c>
      <c r="N11" s="397"/>
      <c r="O11" s="474"/>
      <c r="P11" s="591">
        <v>1</v>
      </c>
      <c r="Q11" s="594" t="s">
        <v>551</v>
      </c>
    </row>
    <row r="12" spans="2:17" ht="15">
      <c r="B12" s="10" t="s">
        <v>146</v>
      </c>
      <c r="C12" s="382">
        <f>Param_Calculette!B30</f>
        <v>0.0081</v>
      </c>
      <c r="D12" s="377"/>
      <c r="E12" s="124" t="s">
        <v>115</v>
      </c>
      <c r="F12" s="403">
        <f>aSchool_flatN</f>
        <v>311.65</v>
      </c>
      <c r="G12" s="27" t="s">
        <v>67</v>
      </c>
      <c r="H12" s="9"/>
      <c r="I12" s="11"/>
      <c r="L12" s="109" t="s">
        <v>412</v>
      </c>
      <c r="M12" s="394">
        <f>Param_Calculette!E47</f>
        <v>112.2</v>
      </c>
      <c r="N12" s="397"/>
      <c r="O12" s="475"/>
      <c r="P12" s="591">
        <v>1</v>
      </c>
      <c r="Q12" s="594" t="s">
        <v>551</v>
      </c>
    </row>
    <row r="13" spans="2:17" ht="15">
      <c r="B13" s="10" t="s">
        <v>236</v>
      </c>
      <c r="C13" s="385">
        <f>Param_Calculette!B31</f>
        <v>1123.91</v>
      </c>
      <c r="D13" s="377"/>
      <c r="E13" s="400" t="s">
        <v>116</v>
      </c>
      <c r="F13" s="404">
        <f>2*aSchool_flatN</f>
        <v>623.3</v>
      </c>
      <c r="G13" s="28" t="s">
        <v>114</v>
      </c>
      <c r="H13" s="16"/>
      <c r="I13" s="8"/>
      <c r="L13" s="109" t="s">
        <v>413</v>
      </c>
      <c r="M13" s="394">
        <f>Param_Calculette!E48</f>
        <v>94.1</v>
      </c>
      <c r="N13" s="397">
        <f>Param_Calculette!F48</f>
        <v>98.1</v>
      </c>
      <c r="O13" s="475"/>
      <c r="P13" s="591">
        <f>Param_Calculette!H48</f>
        <v>1</v>
      </c>
      <c r="Q13" s="641" t="s">
        <v>551</v>
      </c>
    </row>
    <row r="14" spans="2:18" ht="15.75">
      <c r="B14" s="10" t="s">
        <v>360</v>
      </c>
      <c r="C14" s="386">
        <f>Param_Calculette!B35</f>
        <v>0.005</v>
      </c>
      <c r="D14" s="377"/>
      <c r="E14" s="27" t="s">
        <v>430</v>
      </c>
      <c r="L14" s="109" t="s">
        <v>55</v>
      </c>
      <c r="M14" s="394">
        <f>Param_Calculette!E50</f>
        <v>89.4</v>
      </c>
      <c r="N14" s="397">
        <f>Param_Calculette!F50</f>
        <v>84.8</v>
      </c>
      <c r="O14" s="475"/>
      <c r="P14" s="591">
        <v>1</v>
      </c>
      <c r="Q14" s="594" t="s">
        <v>551</v>
      </c>
      <c r="R14" s="78"/>
    </row>
    <row r="15" spans="2:19" ht="15.75">
      <c r="B15" s="10" t="s">
        <v>361</v>
      </c>
      <c r="C15" s="620">
        <f>Param_Calculette!B36</f>
        <v>0.000227</v>
      </c>
      <c r="D15" s="377"/>
      <c r="K15" s="396"/>
      <c r="L15" s="109" t="s">
        <v>414</v>
      </c>
      <c r="M15" s="394">
        <f>Param_Calculette!E51</f>
        <v>97.4</v>
      </c>
      <c r="N15" s="397">
        <f>Param_Calculette!F51</f>
        <v>93.4</v>
      </c>
      <c r="O15" s="396"/>
      <c r="P15" s="591">
        <v>1</v>
      </c>
      <c r="Q15" s="594" t="s">
        <v>551</v>
      </c>
      <c r="R15" s="78"/>
      <c r="S15" s="78"/>
    </row>
    <row r="16" spans="2:19" ht="15">
      <c r="B16" s="586" t="s">
        <v>50</v>
      </c>
      <c r="C16" s="385">
        <f>Param_Calculette!B13</f>
        <v>6.8007</v>
      </c>
      <c r="D16" s="377"/>
      <c r="K16" s="396"/>
      <c r="L16" s="109" t="s">
        <v>105</v>
      </c>
      <c r="M16" s="394">
        <f>Param_Calculette!E52</f>
        <v>116.8</v>
      </c>
      <c r="N16" s="397">
        <f>Param_Calculette!F52</f>
        <v>107.7</v>
      </c>
      <c r="O16" s="396"/>
      <c r="P16" s="591">
        <v>1</v>
      </c>
      <c r="Q16" s="594" t="s">
        <v>551</v>
      </c>
      <c r="R16" s="78"/>
      <c r="S16" s="78"/>
    </row>
    <row r="17" spans="2:23" ht="15">
      <c r="B17" s="587" t="s">
        <v>331</v>
      </c>
      <c r="C17" s="588">
        <f>Param_Calculette!F118</f>
        <v>3271.87</v>
      </c>
      <c r="D17" s="122"/>
      <c r="K17" s="396"/>
      <c r="L17" s="109" t="s">
        <v>415</v>
      </c>
      <c r="M17" s="394">
        <f>Param_Calculette!E49</f>
        <v>136.3</v>
      </c>
      <c r="N17" s="397">
        <f>Param_Calculette!F49</f>
        <v>129</v>
      </c>
      <c r="O17" s="396"/>
      <c r="P17" s="591">
        <v>1</v>
      </c>
      <c r="Q17" s="594" t="s">
        <v>551</v>
      </c>
      <c r="S17" s="78"/>
      <c r="T17" s="3"/>
      <c r="U17" s="3"/>
      <c r="V17" s="3"/>
      <c r="W17" s="3"/>
    </row>
    <row r="18" spans="11:19" ht="15">
      <c r="K18" s="396"/>
      <c r="L18" s="109" t="s">
        <v>576</v>
      </c>
      <c r="M18" s="394">
        <f>Param_Calculette!E53</f>
        <v>80</v>
      </c>
      <c r="N18" s="397">
        <f>Param_Calculette!F53</f>
        <v>69.9</v>
      </c>
      <c r="O18" s="396"/>
      <c r="P18" s="591">
        <f>Param_Calculette!H53</f>
        <v>7.5285</v>
      </c>
      <c r="Q18" s="641" t="s">
        <v>594</v>
      </c>
      <c r="S18" s="78"/>
    </row>
    <row r="19" spans="2:23" s="3" customFormat="1" ht="15" thickBot="1">
      <c r="B19" s="4"/>
      <c r="C19" s="4"/>
      <c r="D19" s="4"/>
      <c r="E19" s="489" t="s">
        <v>493</v>
      </c>
      <c r="F19" s="4"/>
      <c r="G19" s="4"/>
      <c r="H19" s="4"/>
      <c r="I19" s="4"/>
      <c r="J19" s="1"/>
      <c r="K19" s="396"/>
      <c r="L19" s="109" t="s">
        <v>416</v>
      </c>
      <c r="M19" s="394">
        <f>Param_Calculette!E54</f>
        <v>94.7</v>
      </c>
      <c r="N19" s="397">
        <f>Param_Calculette!F54</f>
        <v>94.1</v>
      </c>
      <c r="O19" s="396"/>
      <c r="P19" s="591">
        <v>1</v>
      </c>
      <c r="Q19" s="594" t="s">
        <v>551</v>
      </c>
      <c r="S19" s="78"/>
      <c r="T19" s="1"/>
      <c r="U19" s="1"/>
      <c r="V19" s="1"/>
      <c r="W19" s="1"/>
    </row>
    <row r="20" spans="2:17" ht="14.25">
      <c r="B20" s="130" t="s">
        <v>87</v>
      </c>
      <c r="C20" s="131"/>
      <c r="D20" s="132"/>
      <c r="E20" s="133" t="s">
        <v>88</v>
      </c>
      <c r="F20" s="132"/>
      <c r="G20" s="132"/>
      <c r="H20" s="132"/>
      <c r="I20" s="303"/>
      <c r="K20" s="396"/>
      <c r="L20" s="109" t="s">
        <v>57</v>
      </c>
      <c r="M20" s="394">
        <f>Param_Calculette!E55</f>
        <v>92</v>
      </c>
      <c r="N20" s="397">
        <f>Param_Calculette!F55</f>
        <v>100</v>
      </c>
      <c r="O20" s="396"/>
      <c r="P20" s="591">
        <v>1</v>
      </c>
      <c r="Q20" s="594" t="s">
        <v>551</v>
      </c>
    </row>
    <row r="21" spans="2:17" ht="14.25">
      <c r="B21" s="134"/>
      <c r="C21" s="135" t="s">
        <v>246</v>
      </c>
      <c r="D21" s="136" t="s">
        <v>247</v>
      </c>
      <c r="E21" s="136" t="s">
        <v>248</v>
      </c>
      <c r="F21" s="136" t="s">
        <v>249</v>
      </c>
      <c r="G21" s="137" t="s">
        <v>250</v>
      </c>
      <c r="H21" s="136" t="s">
        <v>251</v>
      </c>
      <c r="I21" s="566" t="s">
        <v>252</v>
      </c>
      <c r="K21" s="396"/>
      <c r="L21" s="109" t="s">
        <v>417</v>
      </c>
      <c r="M21" s="394">
        <f>Param_Calculette!E56</f>
        <v>82.6</v>
      </c>
      <c r="N21" s="397">
        <f>Param_Calculette!F56</f>
        <v>82.9</v>
      </c>
      <c r="O21" s="396"/>
      <c r="P21" s="591">
        <v>1</v>
      </c>
      <c r="Q21" s="594" t="s">
        <v>551</v>
      </c>
    </row>
    <row r="22" spans="2:17" ht="14.25">
      <c r="B22" s="569">
        <v>18</v>
      </c>
      <c r="C22" s="390">
        <f>Param_Calculette!F76</f>
        <v>7189.8</v>
      </c>
      <c r="D22" s="390">
        <f>Param_Calculette!G76</f>
        <v>7339.32</v>
      </c>
      <c r="E22" s="390">
        <f>Param_Calculette!H76</f>
        <v>7491.93</v>
      </c>
      <c r="F22" s="390">
        <f>Param_Calculette!I76</f>
        <v>7647.74</v>
      </c>
      <c r="G22" s="390">
        <f>Param_Calculette!J76</f>
        <v>7806.79</v>
      </c>
      <c r="H22" s="390">
        <f>Param_Calculette!K76</f>
        <v>7969.13</v>
      </c>
      <c r="I22" s="567">
        <f>Param_Calculette!L76</f>
        <v>8134.84</v>
      </c>
      <c r="K22" s="396"/>
      <c r="L22" s="109" t="s">
        <v>418</v>
      </c>
      <c r="M22" s="394">
        <f>Param_Calculette!E57</f>
        <v>85.9</v>
      </c>
      <c r="N22" s="397">
        <f>Param_Calculette!F57</f>
        <v>80.9</v>
      </c>
      <c r="O22" s="396"/>
      <c r="P22" s="591">
        <f>Param_Calculette!H57</f>
        <v>1</v>
      </c>
      <c r="Q22" s="594" t="s">
        <v>551</v>
      </c>
    </row>
    <row r="23" spans="2:17" ht="14.25">
      <c r="B23" s="138">
        <v>17</v>
      </c>
      <c r="C23" s="390">
        <f>Param_Calculette!F77</f>
        <v>6354.54</v>
      </c>
      <c r="D23" s="390">
        <f>Param_Calculette!G77</f>
        <v>6486.67</v>
      </c>
      <c r="E23" s="390">
        <f>Param_Calculette!H77</f>
        <v>6621.57</v>
      </c>
      <c r="F23" s="390">
        <f>Param_Calculette!I77</f>
        <v>6759.28</v>
      </c>
      <c r="G23" s="390">
        <f>Param_Calculette!J77</f>
        <v>6899.84</v>
      </c>
      <c r="H23" s="390">
        <f>Param_Calculette!K77</f>
        <v>7043.32</v>
      </c>
      <c r="I23" s="567">
        <f>Param_Calculette!L77</f>
        <v>7189.8</v>
      </c>
      <c r="K23" s="396"/>
      <c r="L23" s="109" t="s">
        <v>419</v>
      </c>
      <c r="M23" s="394">
        <f>Param_Calculette!E58</f>
        <v>87.4</v>
      </c>
      <c r="N23" s="397">
        <f>Param_Calculette!F58</f>
        <v>76.6</v>
      </c>
      <c r="O23" s="396"/>
      <c r="P23" s="591">
        <v>1</v>
      </c>
      <c r="Q23" s="594" t="s">
        <v>551</v>
      </c>
    </row>
    <row r="24" spans="2:17" ht="14.25">
      <c r="B24" s="138">
        <v>16</v>
      </c>
      <c r="C24" s="390">
        <f>Param_Calculette!F78</f>
        <v>5616.29</v>
      </c>
      <c r="D24" s="390">
        <f>Param_Calculette!G78</f>
        <v>5733.08</v>
      </c>
      <c r="E24" s="390">
        <f>Param_Calculette!H78</f>
        <v>5852.31</v>
      </c>
      <c r="F24" s="390">
        <f>Param_Calculette!I78</f>
        <v>5974.01</v>
      </c>
      <c r="G24" s="390">
        <f>Param_Calculette!J78</f>
        <v>6098.26</v>
      </c>
      <c r="H24" s="390">
        <f>Param_Calculette!K78</f>
        <v>6225.09</v>
      </c>
      <c r="I24" s="567">
        <f>Param_Calculette!L78</f>
        <v>6354.54</v>
      </c>
      <c r="K24" s="396"/>
      <c r="L24" s="109" t="s">
        <v>420</v>
      </c>
      <c r="M24" s="394">
        <f>Param_Calculette!E59</f>
        <v>69.6</v>
      </c>
      <c r="N24" s="397">
        <f>Param_Calculette!F59</f>
        <v>58.8</v>
      </c>
      <c r="O24" s="396"/>
      <c r="P24" s="591">
        <f>Param_Calculette!H59</f>
        <v>394.28</v>
      </c>
      <c r="Q24" s="594" t="s">
        <v>555</v>
      </c>
    </row>
    <row r="25" spans="2:17" ht="14.25">
      <c r="B25" s="138">
        <v>15</v>
      </c>
      <c r="C25" s="390">
        <f>Param_Calculette!F79</f>
        <v>4963.81</v>
      </c>
      <c r="D25" s="390">
        <f>Param_Calculette!G79</f>
        <v>5067.04</v>
      </c>
      <c r="E25" s="390">
        <f>Param_Calculette!H79</f>
        <v>5172.43</v>
      </c>
      <c r="F25" s="390">
        <f>Param_Calculette!I79</f>
        <v>5279.99</v>
      </c>
      <c r="G25" s="390">
        <f>Param_Calculette!J79</f>
        <v>5389.8</v>
      </c>
      <c r="H25" s="390">
        <f>Param_Calculette!K79</f>
        <v>5501.87</v>
      </c>
      <c r="I25" s="567">
        <f>Param_Calculette!L79</f>
        <v>5616.29</v>
      </c>
      <c r="K25" s="396"/>
      <c r="L25" s="109" t="s">
        <v>421</v>
      </c>
      <c r="M25" s="394">
        <f>Param_Calculette!E60</f>
        <v>92.1</v>
      </c>
      <c r="N25" s="397">
        <f>Param_Calculette!F60</f>
        <v>94.7</v>
      </c>
      <c r="O25" s="396"/>
      <c r="P25" s="591">
        <v>1</v>
      </c>
      <c r="Q25" s="594" t="s">
        <v>551</v>
      </c>
    </row>
    <row r="26" spans="2:17" ht="15">
      <c r="B26" s="138">
        <v>14</v>
      </c>
      <c r="C26" s="390">
        <f>Param_Calculette!F80</f>
        <v>4387.16</v>
      </c>
      <c r="D26" s="390">
        <f>Param_Calculette!G80</f>
        <v>4478.39</v>
      </c>
      <c r="E26" s="390">
        <f>Param_Calculette!H80</f>
        <v>4571.53</v>
      </c>
      <c r="F26" s="390">
        <f>Param_Calculette!I80</f>
        <v>4666.59</v>
      </c>
      <c r="G26" s="390">
        <f>Param_Calculette!J80</f>
        <v>4763.67</v>
      </c>
      <c r="H26" s="390">
        <f>Param_Calculette!K80</f>
        <v>4862.69</v>
      </c>
      <c r="I26" s="567">
        <f>Param_Calculette!L80</f>
        <v>4963.81</v>
      </c>
      <c r="K26" s="396"/>
      <c r="L26" s="109" t="s">
        <v>58</v>
      </c>
      <c r="M26" s="394">
        <f>Param_Calculette!E61</f>
        <v>109.8</v>
      </c>
      <c r="N26" s="397">
        <f>Param_Calculette!F61</f>
        <v>110.7</v>
      </c>
      <c r="O26" s="396"/>
      <c r="P26" s="591">
        <v>1</v>
      </c>
      <c r="Q26" s="594" t="s">
        <v>551</v>
      </c>
    </row>
    <row r="27" spans="2:17" ht="15">
      <c r="B27" s="138">
        <v>13</v>
      </c>
      <c r="C27" s="390">
        <f>Param_Calculette!F81</f>
        <v>3877.47</v>
      </c>
      <c r="D27" s="390">
        <f>Param_Calculette!G81</f>
        <v>3958.12</v>
      </c>
      <c r="E27" s="390">
        <f>Param_Calculette!H81</f>
        <v>4040.42</v>
      </c>
      <c r="F27" s="390">
        <f>Param_Calculette!I81</f>
        <v>4124.46</v>
      </c>
      <c r="G27" s="390">
        <f>Param_Calculette!J81</f>
        <v>4210.22</v>
      </c>
      <c r="H27" s="390">
        <f>Param_Calculette!K81</f>
        <v>4297.78</v>
      </c>
      <c r="I27" s="567">
        <f>Param_Calculette!L81</f>
        <v>4387.16</v>
      </c>
      <c r="K27" s="396"/>
      <c r="L27" s="109" t="s">
        <v>422</v>
      </c>
      <c r="M27" s="394">
        <f>Param_Calculette!E62</f>
        <v>108.8</v>
      </c>
      <c r="N27" s="397">
        <f>Param_Calculette!F62</f>
        <v>110.6</v>
      </c>
      <c r="O27" s="396"/>
      <c r="P27" s="591">
        <v>1</v>
      </c>
      <c r="Q27" s="594" t="s">
        <v>551</v>
      </c>
    </row>
    <row r="28" spans="2:17" ht="15">
      <c r="B28" s="138">
        <v>12</v>
      </c>
      <c r="C28" s="390">
        <f>Param_Calculette!F82</f>
        <v>4963.75</v>
      </c>
      <c r="D28" s="390">
        <f>Param_Calculette!G82</f>
        <v>5066.96</v>
      </c>
      <c r="E28" s="390">
        <f>Param_Calculette!H82</f>
        <v>5172.35</v>
      </c>
      <c r="F28" s="390">
        <f>Param_Calculette!I82</f>
        <v>5279.89</v>
      </c>
      <c r="G28" s="390">
        <f>Param_Calculette!J82</f>
        <v>5389.68</v>
      </c>
      <c r="H28" s="390">
        <f>Param_Calculette!K82</f>
        <v>5501.76</v>
      </c>
      <c r="I28" s="567">
        <f>Param_Calculette!L82</f>
        <v>5616.17</v>
      </c>
      <c r="K28" s="396"/>
      <c r="L28" s="109" t="s">
        <v>423</v>
      </c>
      <c r="M28" s="394">
        <f>Param_Calculette!E63</f>
        <v>71.7</v>
      </c>
      <c r="N28" s="397">
        <f>Param_Calculette!F63</f>
        <v>62</v>
      </c>
      <c r="O28" s="396"/>
      <c r="P28" s="591">
        <f>Param_Calculette!H63</f>
        <v>4.6869</v>
      </c>
      <c r="Q28" s="594" t="s">
        <v>556</v>
      </c>
    </row>
    <row r="29" spans="2:17" ht="15">
      <c r="B29" s="138">
        <v>11</v>
      </c>
      <c r="C29" s="390">
        <f>Param_Calculette!F83</f>
        <v>4387.13</v>
      </c>
      <c r="D29" s="390">
        <f>Param_Calculette!G83</f>
        <v>4478.34</v>
      </c>
      <c r="E29" s="390">
        <f>Param_Calculette!H83</f>
        <v>4571.47</v>
      </c>
      <c r="F29" s="390">
        <f>Param_Calculette!I83</f>
        <v>4666.52</v>
      </c>
      <c r="G29" s="390">
        <f>Param_Calculette!J83</f>
        <v>4763.57</v>
      </c>
      <c r="H29" s="390">
        <f>Param_Calculette!K83</f>
        <v>4862.63</v>
      </c>
      <c r="I29" s="567">
        <f>Param_Calculette!L83</f>
        <v>4963.75</v>
      </c>
      <c r="K29" s="396"/>
      <c r="L29" s="109" t="s">
        <v>424</v>
      </c>
      <c r="M29" s="394">
        <f>Param_Calculette!E64</f>
        <v>95.5</v>
      </c>
      <c r="N29" s="397">
        <f>Param_Calculette!F64</f>
        <v>89.7</v>
      </c>
      <c r="O29" s="396"/>
      <c r="P29" s="591">
        <v>1</v>
      </c>
      <c r="Q29" s="594" t="s">
        <v>551</v>
      </c>
    </row>
    <row r="30" spans="2:17" ht="15">
      <c r="B30" s="138">
        <v>10</v>
      </c>
      <c r="C30" s="390">
        <f>Param_Calculette!F84</f>
        <v>3877.46</v>
      </c>
      <c r="D30" s="390">
        <f>Param_Calculette!G84</f>
        <v>3958.09</v>
      </c>
      <c r="E30" s="390">
        <f>Param_Calculette!H84</f>
        <v>4040.4</v>
      </c>
      <c r="F30" s="390">
        <f>Param_Calculette!I84</f>
        <v>4124.43</v>
      </c>
      <c r="G30" s="390">
        <f>Param_Calculette!J84</f>
        <v>4210.19</v>
      </c>
      <c r="H30" s="390">
        <f>Param_Calculette!K84</f>
        <v>4297.75</v>
      </c>
      <c r="I30" s="567">
        <f>Param_Calculette!L84</f>
        <v>4387.13</v>
      </c>
      <c r="K30" s="396"/>
      <c r="L30" s="109" t="s">
        <v>544</v>
      </c>
      <c r="M30" s="394">
        <f>Param_Calculette!E65</f>
        <v>70.1</v>
      </c>
      <c r="N30" s="397">
        <f>Param_Calculette!F65</f>
        <v>59.1</v>
      </c>
      <c r="O30" s="396"/>
      <c r="P30" s="591">
        <f>Param_Calculette!H65</f>
        <v>4.9419</v>
      </c>
      <c r="Q30" s="594" t="s">
        <v>557</v>
      </c>
    </row>
    <row r="31" spans="2:17" ht="14.25">
      <c r="B31" s="138">
        <v>9</v>
      </c>
      <c r="C31" s="390">
        <f>Param_Calculette!F85</f>
        <v>3427.03</v>
      </c>
      <c r="D31" s="390">
        <f>Param_Calculette!G85</f>
        <v>3498.29</v>
      </c>
      <c r="E31" s="390">
        <f>Param_Calculette!H85</f>
        <v>3571.04</v>
      </c>
      <c r="F31" s="390">
        <f>Param_Calculette!I85</f>
        <v>3645.32</v>
      </c>
      <c r="G31" s="390">
        <f>Param_Calculette!J85</f>
        <v>3721.12</v>
      </c>
      <c r="H31" s="390">
        <f>Param_Calculette!K85</f>
        <v>3798.48</v>
      </c>
      <c r="I31" s="567">
        <f>Param_Calculette!L85</f>
        <v>3877.46</v>
      </c>
      <c r="K31" s="396"/>
      <c r="L31" s="109" t="s">
        <v>425</v>
      </c>
      <c r="M31" s="394">
        <f>Param_Calculette!E66</f>
        <v>87.1</v>
      </c>
      <c r="N31" s="397">
        <f>Param_Calculette!F66</f>
        <v>83.6</v>
      </c>
      <c r="O31" s="396"/>
      <c r="P31" s="591">
        <v>1</v>
      </c>
      <c r="Q31" s="594" t="s">
        <v>551</v>
      </c>
    </row>
    <row r="32" spans="2:17" ht="15">
      <c r="B32" s="138">
        <v>8</v>
      </c>
      <c r="C32" s="390">
        <f>Param_Calculette!F86</f>
        <v>3028.92</v>
      </c>
      <c r="D32" s="390">
        <f>Param_Calculette!G86</f>
        <v>3091.91</v>
      </c>
      <c r="E32" s="390">
        <f>Param_Calculette!H86</f>
        <v>3156.21</v>
      </c>
      <c r="F32" s="390">
        <f>Param_Calculette!I86</f>
        <v>3221.83</v>
      </c>
      <c r="G32" s="390">
        <f>Param_Calculette!J86</f>
        <v>3288.84</v>
      </c>
      <c r="H32" s="390">
        <f>Param_Calculette!K86</f>
        <v>3357.23</v>
      </c>
      <c r="I32" s="567">
        <f>Param_Calculette!L86</f>
        <v>3427.03</v>
      </c>
      <c r="K32" s="396"/>
      <c r="L32" s="109" t="s">
        <v>426</v>
      </c>
      <c r="M32" s="394">
        <f>Param_Calculette!E67</f>
        <v>81.3</v>
      </c>
      <c r="N32" s="397">
        <f>Param_Calculette!F67</f>
        <v>80.9</v>
      </c>
      <c r="O32" s="396"/>
      <c r="P32" s="591">
        <v>1</v>
      </c>
      <c r="Q32" s="594" t="s">
        <v>551</v>
      </c>
    </row>
    <row r="33" spans="2:17" ht="15">
      <c r="B33" s="138">
        <v>7</v>
      </c>
      <c r="C33" s="390">
        <f>Param_Calculette!F87</f>
        <v>3426.95</v>
      </c>
      <c r="D33" s="390">
        <f>Param_Calculette!G87</f>
        <v>3498.24</v>
      </c>
      <c r="E33" s="390">
        <f>Param_Calculette!H87</f>
        <v>3570.98</v>
      </c>
      <c r="F33" s="390">
        <f>Param_Calculette!I87</f>
        <v>3645.25</v>
      </c>
      <c r="G33" s="390">
        <f>Param_Calculette!J87</f>
        <v>3721.1</v>
      </c>
      <c r="H33" s="390">
        <f>Param_Calculette!K87</f>
        <v>3798.48</v>
      </c>
      <c r="I33" s="567">
        <f>Param_Calculette!L87</f>
        <v>3877.47</v>
      </c>
      <c r="K33" s="396"/>
      <c r="L33" s="109" t="s">
        <v>427</v>
      </c>
      <c r="M33" s="394">
        <f>Param_Calculette!E68</f>
        <v>117.3</v>
      </c>
      <c r="N33" s="397">
        <f>Param_Calculette!F68</f>
        <v>118.9</v>
      </c>
      <c r="O33" s="396"/>
      <c r="P33" s="591">
        <v>1</v>
      </c>
      <c r="Q33" s="594" t="s">
        <v>551</v>
      </c>
    </row>
    <row r="34" spans="2:17" ht="14.25">
      <c r="B34" s="138">
        <v>6</v>
      </c>
      <c r="C34" s="390">
        <f>Param_Calculette!F88</f>
        <v>3028.79</v>
      </c>
      <c r="D34" s="390">
        <f>Param_Calculette!G88</f>
        <v>3091.76</v>
      </c>
      <c r="E34" s="390">
        <f>Param_Calculette!H88</f>
        <v>3156.08</v>
      </c>
      <c r="F34" s="390">
        <f>Param_Calculette!I88</f>
        <v>3221.72</v>
      </c>
      <c r="G34" s="390">
        <f>Param_Calculette!J88</f>
        <v>3288.72</v>
      </c>
      <c r="H34" s="390">
        <f>Param_Calculette!K88</f>
        <v>3357.13</v>
      </c>
      <c r="I34" s="567">
        <f>Param_Calculette!L88</f>
        <v>3426.95</v>
      </c>
      <c r="K34" s="396"/>
      <c r="L34" s="109" t="s">
        <v>428</v>
      </c>
      <c r="M34" s="394">
        <f>Param_Calculette!E69</f>
        <v>124.9</v>
      </c>
      <c r="N34" s="397">
        <f>Param_Calculette!F69</f>
        <v>114.3</v>
      </c>
      <c r="O34" s="396"/>
      <c r="P34" s="591">
        <f>Param_Calculette!H69</f>
        <v>10.6848</v>
      </c>
      <c r="Q34" s="594" t="s">
        <v>558</v>
      </c>
    </row>
    <row r="35" spans="2:17" ht="14.25">
      <c r="B35" s="138">
        <v>5</v>
      </c>
      <c r="C35" s="390">
        <f>Param_Calculette!F89</f>
        <v>2676.85</v>
      </c>
      <c r="D35" s="390">
        <f>Param_Calculette!G89</f>
        <v>2732.52</v>
      </c>
      <c r="E35" s="390">
        <f>Param_Calculette!H89</f>
        <v>2789.36</v>
      </c>
      <c r="F35" s="390">
        <f>Param_Calculette!I89</f>
        <v>2847.38</v>
      </c>
      <c r="G35" s="390">
        <f>Param_Calculette!J89</f>
        <v>2906.59</v>
      </c>
      <c r="H35" s="390">
        <f>Param_Calculette!K89</f>
        <v>2967.06</v>
      </c>
      <c r="I35" s="567">
        <f>Param_Calculette!L89</f>
        <v>3028.79</v>
      </c>
      <c r="K35" s="396"/>
      <c r="L35" s="109"/>
      <c r="M35" s="394">
        <f>Param_Calculette!E70</f>
        <v>0</v>
      </c>
      <c r="N35" s="397">
        <f>Param_Calculette!F70</f>
        <v>0</v>
      </c>
      <c r="O35" s="396"/>
      <c r="P35" s="591"/>
      <c r="Q35" s="641"/>
    </row>
    <row r="36" spans="2:17" ht="15" thickBot="1">
      <c r="B36" s="138">
        <v>4</v>
      </c>
      <c r="C36" s="390">
        <f>Param_Calculette!F90</f>
        <v>2365.82</v>
      </c>
      <c r="D36" s="390">
        <f>Param_Calculette!G90</f>
        <v>2415.03</v>
      </c>
      <c r="E36" s="390">
        <f>Param_Calculette!H90</f>
        <v>2465.27</v>
      </c>
      <c r="F36" s="390">
        <f>Param_Calculette!I90</f>
        <v>2516.55</v>
      </c>
      <c r="G36" s="390">
        <f>Param_Calculette!J90</f>
        <v>2568.88</v>
      </c>
      <c r="H36" s="390">
        <f>Param_Calculette!K90</f>
        <v>2622.31</v>
      </c>
      <c r="I36" s="567">
        <f>Param_Calculette!L90</f>
        <v>2676.85</v>
      </c>
      <c r="K36" s="396"/>
      <c r="L36" s="326"/>
      <c r="M36" s="395"/>
      <c r="N36" s="398"/>
      <c r="O36" s="396"/>
      <c r="P36" s="595"/>
      <c r="Q36" s="596"/>
    </row>
    <row r="37" spans="2:15" ht="14.25">
      <c r="B37" s="138">
        <v>3</v>
      </c>
      <c r="C37" s="390">
        <f>Param_Calculette!F91</f>
        <v>2914.51</v>
      </c>
      <c r="D37" s="390">
        <f>Param_Calculette!G91</f>
        <v>2974.99</v>
      </c>
      <c r="E37" s="390">
        <f>Param_Calculette!H91</f>
        <v>3036.75</v>
      </c>
      <c r="F37" s="390">
        <f>Param_Calculette!I91</f>
        <v>3099.76</v>
      </c>
      <c r="G37" s="390">
        <f>Param_Calculette!J91</f>
        <v>3164.08</v>
      </c>
      <c r="H37" s="390">
        <f>Param_Calculette!K91</f>
        <v>3229.76</v>
      </c>
      <c r="I37" s="567">
        <f>Param_Calculette!L91</f>
        <v>3296.81</v>
      </c>
      <c r="K37" s="396"/>
      <c r="O37" s="396"/>
    </row>
    <row r="38" spans="1:15" ht="14.25">
      <c r="A38" s="129"/>
      <c r="B38" s="138">
        <v>2</v>
      </c>
      <c r="C38" s="390">
        <f>Param_Calculette!F92</f>
        <v>2576.55</v>
      </c>
      <c r="D38" s="390">
        <f>Param_Calculette!G92</f>
        <v>2630.02</v>
      </c>
      <c r="E38" s="390">
        <f>Param_Calculette!H92</f>
        <v>2684.61</v>
      </c>
      <c r="F38" s="390">
        <f>Param_Calculette!I92</f>
        <v>2740.32</v>
      </c>
      <c r="G38" s="390">
        <f>Param_Calculette!J92</f>
        <v>2797.2</v>
      </c>
      <c r="H38" s="390">
        <f>Param_Calculette!K92</f>
        <v>2855.26</v>
      </c>
      <c r="I38" s="567">
        <f>Param_Calculette!L92</f>
        <v>2914.51</v>
      </c>
      <c r="K38" s="396"/>
      <c r="O38" s="396"/>
    </row>
    <row r="39" spans="1:15" ht="15" thickBot="1">
      <c r="A39" s="129"/>
      <c r="B39" s="139">
        <v>1</v>
      </c>
      <c r="C39" s="391">
        <f>Param_Calculette!F93</f>
        <v>2277.79</v>
      </c>
      <c r="D39" s="391">
        <f>Param_Calculette!G93</f>
        <v>2325.07</v>
      </c>
      <c r="E39" s="391">
        <f>Param_Calculette!H93</f>
        <v>2373.31</v>
      </c>
      <c r="F39" s="391">
        <f>Param_Calculette!I93</f>
        <v>2422.56</v>
      </c>
      <c r="G39" s="391">
        <f>Param_Calculette!J93</f>
        <v>2472.85</v>
      </c>
      <c r="H39" s="391">
        <f>Param_Calculette!K93</f>
        <v>2524.17</v>
      </c>
      <c r="I39" s="568">
        <f>Param_Calculette!L93</f>
        <v>2576.55</v>
      </c>
      <c r="K39" s="396"/>
      <c r="O39" s="396"/>
    </row>
    <row r="40" spans="2:15" ht="13.5">
      <c r="B40" s="111"/>
      <c r="C40" s="6"/>
      <c r="D40" s="6"/>
      <c r="E40" s="6"/>
      <c r="F40" s="6"/>
      <c r="I40" s="6"/>
      <c r="J40" s="111"/>
      <c r="O40" s="396"/>
    </row>
    <row r="41" spans="2:17" ht="15" thickBot="1"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  <c r="N41" s="3"/>
      <c r="Q41" s="546"/>
    </row>
    <row r="42" spans="2:17" ht="16.5">
      <c r="B42" s="453" t="s">
        <v>27</v>
      </c>
      <c r="C42" s="454">
        <f>parameters!C16</f>
        <v>6.8007</v>
      </c>
      <c r="D42" s="446"/>
      <c r="E42" s="455" t="s">
        <v>501</v>
      </c>
      <c r="F42" s="456"/>
      <c r="G42" s="456"/>
      <c r="H42" s="456"/>
      <c r="I42" s="457"/>
      <c r="L42" s="158" t="s">
        <v>199</v>
      </c>
      <c r="M42" s="159"/>
      <c r="N42" s="476">
        <f>VLOOKUP(TripKM,KmRateTab,2)+VLOOKUP(TripKM,KmRateTab,3)*(TripKM-VLOOKUP(TripKM,KmRateTab,1))</f>
        <v>0</v>
      </c>
      <c r="Q42" s="546"/>
    </row>
    <row r="43" spans="2:17" ht="16.5">
      <c r="B43" s="458" t="s">
        <v>28</v>
      </c>
      <c r="C43" s="447" t="s">
        <v>29</v>
      </c>
      <c r="D43" s="447"/>
      <c r="E43" s="459" t="s">
        <v>23</v>
      </c>
      <c r="F43" s="460" t="s">
        <v>24</v>
      </c>
      <c r="G43" s="459" t="s">
        <v>22</v>
      </c>
      <c r="H43" s="460" t="s">
        <v>24</v>
      </c>
      <c r="I43" s="461" t="s">
        <v>22</v>
      </c>
      <c r="L43" s="160" t="s">
        <v>228</v>
      </c>
      <c r="M43" s="164"/>
      <c r="N43" s="477">
        <f>VLOOKUP(TripKM,MSbonus_N,2)</f>
        <v>0</v>
      </c>
      <c r="Q43" s="546"/>
    </row>
    <row r="44" spans="2:17" ht="13.5">
      <c r="B44" s="462">
        <v>1968</v>
      </c>
      <c r="C44" s="463" t="s">
        <v>30</v>
      </c>
      <c r="D44" s="463" t="s">
        <v>31</v>
      </c>
      <c r="E44" s="464" t="s">
        <v>25</v>
      </c>
      <c r="F44" s="465" t="s">
        <v>25</v>
      </c>
      <c r="G44" s="465" t="s">
        <v>25</v>
      </c>
      <c r="H44" s="465" t="s">
        <v>26</v>
      </c>
      <c r="I44" s="466"/>
      <c r="L44" s="488" t="s">
        <v>198</v>
      </c>
      <c r="M44" s="487"/>
      <c r="N44" s="478">
        <f>SUM(N42:N43)</f>
        <v>0</v>
      </c>
      <c r="Q44" s="546"/>
    </row>
    <row r="45" spans="2:17" ht="15" thickBot="1">
      <c r="B45" s="467">
        <v>19.91</v>
      </c>
      <c r="C45" s="434">
        <v>0.01</v>
      </c>
      <c r="D45" s="435">
        <f aca="true" t="shared" si="0" ref="D45:D58">$C$42*$B45</f>
        <v>135.4</v>
      </c>
      <c r="E45" s="436">
        <f>D45</f>
        <v>135.4</v>
      </c>
      <c r="F45" s="437">
        <v>0</v>
      </c>
      <c r="G45" s="438">
        <f aca="true" t="shared" si="1" ref="G45:G59">E45*F45</f>
        <v>0</v>
      </c>
      <c r="H45" s="439">
        <v>0</v>
      </c>
      <c r="I45" s="448">
        <v>0</v>
      </c>
      <c r="L45" s="169"/>
      <c r="M45" s="170"/>
      <c r="N45" s="479"/>
      <c r="Q45" s="546"/>
    </row>
    <row r="46" spans="2:17" ht="14.25" thickTop="1">
      <c r="B46" s="468">
        <v>351.46</v>
      </c>
      <c r="C46" s="440">
        <f aca="true" t="shared" si="2" ref="C46:C59">D45+0.01</f>
        <v>135.41</v>
      </c>
      <c r="D46" s="441">
        <f t="shared" si="0"/>
        <v>2390.17</v>
      </c>
      <c r="E46" s="442">
        <f aca="true" t="shared" si="3" ref="E46:E59">D46-D45</f>
        <v>2254.77</v>
      </c>
      <c r="F46" s="439">
        <v>0.08</v>
      </c>
      <c r="G46" s="443">
        <f t="shared" si="1"/>
        <v>180.3816</v>
      </c>
      <c r="H46" s="439">
        <f aca="true" t="shared" si="4" ref="H46:H59">I46/D46</f>
        <v>0.0755</v>
      </c>
      <c r="I46" s="449">
        <f aca="true" t="shared" si="5" ref="I46:I59">I45+G46</f>
        <v>180.3816</v>
      </c>
      <c r="L46" s="165" t="s">
        <v>231</v>
      </c>
      <c r="M46" s="166" t="s">
        <v>194</v>
      </c>
      <c r="N46" s="480" t="s">
        <v>195</v>
      </c>
      <c r="Q46" s="546"/>
    </row>
    <row r="47" spans="2:17" ht="13.5">
      <c r="B47" s="468">
        <v>484.09</v>
      </c>
      <c r="C47" s="440">
        <f t="shared" si="2"/>
        <v>2390.18</v>
      </c>
      <c r="D47" s="441">
        <f t="shared" si="0"/>
        <v>3292.15</v>
      </c>
      <c r="E47" s="444">
        <f t="shared" si="3"/>
        <v>901.98</v>
      </c>
      <c r="F47" s="439">
        <v>0.1</v>
      </c>
      <c r="G47" s="445">
        <f t="shared" si="1"/>
        <v>90.198</v>
      </c>
      <c r="H47" s="439">
        <f t="shared" si="4"/>
        <v>0.0822</v>
      </c>
      <c r="I47" s="449">
        <f t="shared" si="5"/>
        <v>270.5796</v>
      </c>
      <c r="L47" s="161">
        <v>0</v>
      </c>
      <c r="M47" s="79">
        <v>0</v>
      </c>
      <c r="N47" s="481">
        <v>0</v>
      </c>
      <c r="Q47" s="546"/>
    </row>
    <row r="48" spans="2:17" ht="13.5">
      <c r="B48" s="468">
        <v>554.79</v>
      </c>
      <c r="C48" s="440">
        <f t="shared" si="2"/>
        <v>3292.16</v>
      </c>
      <c r="D48" s="441">
        <f t="shared" si="0"/>
        <v>3772.96</v>
      </c>
      <c r="E48" s="444">
        <f t="shared" si="3"/>
        <v>480.81</v>
      </c>
      <c r="F48" s="439">
        <v>0.125</v>
      </c>
      <c r="G48" s="445">
        <f t="shared" si="1"/>
        <v>60.1013</v>
      </c>
      <c r="H48" s="439">
        <f t="shared" si="4"/>
        <v>0.0876</v>
      </c>
      <c r="I48" s="449">
        <f t="shared" si="5"/>
        <v>330.6809</v>
      </c>
      <c r="L48" s="161">
        <v>200</v>
      </c>
      <c r="M48" s="80">
        <f aca="true" t="shared" si="6" ref="M48:M53">M47+N47*($L48-$L47)</f>
        <v>0</v>
      </c>
      <c r="N48" s="482">
        <f>Param_Calculette!B18</f>
        <v>0.4672</v>
      </c>
      <c r="Q48" s="546"/>
    </row>
    <row r="49" spans="2:17" ht="16.5">
      <c r="B49" s="468">
        <v>629.97</v>
      </c>
      <c r="C49" s="440">
        <f t="shared" si="2"/>
        <v>3772.97</v>
      </c>
      <c r="D49" s="441">
        <f t="shared" si="0"/>
        <v>4284.24</v>
      </c>
      <c r="E49" s="444">
        <f t="shared" si="3"/>
        <v>511.28</v>
      </c>
      <c r="F49" s="439">
        <v>0.15</v>
      </c>
      <c r="G49" s="445">
        <f t="shared" si="1"/>
        <v>76.692</v>
      </c>
      <c r="H49" s="439">
        <f t="shared" si="4"/>
        <v>0.0951</v>
      </c>
      <c r="I49" s="449">
        <f t="shared" si="5"/>
        <v>407.3729</v>
      </c>
      <c r="L49" s="161">
        <v>1000</v>
      </c>
      <c r="M49" s="320">
        <f t="shared" si="6"/>
        <v>373.76</v>
      </c>
      <c r="N49" s="482">
        <f>Param_Calculette!B19</f>
        <v>0.7787</v>
      </c>
      <c r="Q49" s="546"/>
    </row>
    <row r="50" spans="2:17" ht="16.5">
      <c r="B50" s="468">
        <v>700.67</v>
      </c>
      <c r="C50" s="440">
        <f t="shared" si="2"/>
        <v>4284.25</v>
      </c>
      <c r="D50" s="441">
        <f t="shared" si="0"/>
        <v>4765.05</v>
      </c>
      <c r="E50" s="444">
        <f t="shared" si="3"/>
        <v>480.81</v>
      </c>
      <c r="F50" s="439">
        <v>0.175</v>
      </c>
      <c r="G50" s="445">
        <f t="shared" si="1"/>
        <v>84.1418</v>
      </c>
      <c r="H50" s="439">
        <f t="shared" si="4"/>
        <v>0.1031</v>
      </c>
      <c r="I50" s="449">
        <f t="shared" si="5"/>
        <v>491.5147</v>
      </c>
      <c r="L50" s="161">
        <v>2000</v>
      </c>
      <c r="M50" s="320">
        <f t="shared" si="6"/>
        <v>1152.46</v>
      </c>
      <c r="N50" s="482">
        <f>Param_Calculette!B20</f>
        <v>0.4672</v>
      </c>
      <c r="Q50" s="546"/>
    </row>
    <row r="51" spans="2:17" ht="16.5">
      <c r="B51" s="468">
        <v>769.21</v>
      </c>
      <c r="C51" s="440">
        <f t="shared" si="2"/>
        <v>4765.06</v>
      </c>
      <c r="D51" s="441">
        <f t="shared" si="0"/>
        <v>5231.17</v>
      </c>
      <c r="E51" s="444">
        <f t="shared" si="3"/>
        <v>466.12</v>
      </c>
      <c r="F51" s="439">
        <v>0.2</v>
      </c>
      <c r="G51" s="445">
        <f t="shared" si="1"/>
        <v>93.224</v>
      </c>
      <c r="H51" s="439">
        <f t="shared" si="4"/>
        <v>0.1118</v>
      </c>
      <c r="I51" s="449">
        <f t="shared" si="5"/>
        <v>584.7387</v>
      </c>
      <c r="L51" s="161">
        <v>3000</v>
      </c>
      <c r="M51" s="320">
        <f t="shared" si="6"/>
        <v>1619.66</v>
      </c>
      <c r="N51" s="482">
        <f>Param_Calculette!B21</f>
        <v>0.1556</v>
      </c>
      <c r="Q51" s="546"/>
    </row>
    <row r="52" spans="2:17" ht="16.5">
      <c r="B52" s="468">
        <v>839.94</v>
      </c>
      <c r="C52" s="440">
        <f t="shared" si="2"/>
        <v>5231.18</v>
      </c>
      <c r="D52" s="441">
        <f t="shared" si="0"/>
        <v>5712.18</v>
      </c>
      <c r="E52" s="444">
        <f t="shared" si="3"/>
        <v>481.01</v>
      </c>
      <c r="F52" s="439">
        <v>0.225</v>
      </c>
      <c r="G52" s="445">
        <f t="shared" si="1"/>
        <v>108.2273</v>
      </c>
      <c r="H52" s="439">
        <f t="shared" si="4"/>
        <v>0.1213</v>
      </c>
      <c r="I52" s="449">
        <f t="shared" si="5"/>
        <v>692.966</v>
      </c>
      <c r="L52" s="161">
        <v>4000</v>
      </c>
      <c r="M52" s="320">
        <f t="shared" si="6"/>
        <v>1775.26</v>
      </c>
      <c r="N52" s="482">
        <f>Param_Calculette!B22</f>
        <v>0.0751</v>
      </c>
      <c r="Q52" s="546"/>
    </row>
    <row r="53" spans="2:17" ht="14.25" thickBot="1">
      <c r="B53" s="468">
        <v>908.48</v>
      </c>
      <c r="C53" s="440">
        <f t="shared" si="2"/>
        <v>5712.19</v>
      </c>
      <c r="D53" s="441">
        <f t="shared" si="0"/>
        <v>6178.3</v>
      </c>
      <c r="E53" s="444">
        <f t="shared" si="3"/>
        <v>466.12</v>
      </c>
      <c r="F53" s="439">
        <v>0.25</v>
      </c>
      <c r="G53" s="445">
        <f t="shared" si="1"/>
        <v>116.53</v>
      </c>
      <c r="H53" s="439">
        <f t="shared" si="4"/>
        <v>0.131</v>
      </c>
      <c r="I53" s="449">
        <f t="shared" si="5"/>
        <v>809.496</v>
      </c>
      <c r="L53" s="483">
        <v>10000</v>
      </c>
      <c r="M53" s="321">
        <f t="shared" si="6"/>
        <v>2225.86</v>
      </c>
      <c r="N53" s="484">
        <v>0</v>
      </c>
      <c r="Q53" s="546"/>
    </row>
    <row r="54" spans="2:17" ht="13.5">
      <c r="B54" s="468">
        <v>979.18</v>
      </c>
      <c r="C54" s="440">
        <f t="shared" si="2"/>
        <v>6178.31</v>
      </c>
      <c r="D54" s="441">
        <f t="shared" si="0"/>
        <v>6659.11</v>
      </c>
      <c r="E54" s="444">
        <f t="shared" si="3"/>
        <v>480.81</v>
      </c>
      <c r="F54" s="439">
        <v>0.275</v>
      </c>
      <c r="G54" s="445">
        <f t="shared" si="1"/>
        <v>132.2228</v>
      </c>
      <c r="H54" s="439">
        <f t="shared" si="4"/>
        <v>0.1414</v>
      </c>
      <c r="I54" s="449">
        <f t="shared" si="5"/>
        <v>941.7188</v>
      </c>
      <c r="L54" s="327"/>
      <c r="M54" s="167" t="s">
        <v>228</v>
      </c>
      <c r="N54" s="168"/>
      <c r="Q54" s="546"/>
    </row>
    <row r="55" spans="2:17" ht="13.5">
      <c r="B55" s="468">
        <v>1047.72</v>
      </c>
      <c r="C55" s="440">
        <f t="shared" si="2"/>
        <v>6659.12</v>
      </c>
      <c r="D55" s="441">
        <f t="shared" si="0"/>
        <v>7125.23</v>
      </c>
      <c r="E55" s="444">
        <f t="shared" si="3"/>
        <v>466.12</v>
      </c>
      <c r="F55" s="439">
        <v>0.3</v>
      </c>
      <c r="G55" s="445">
        <f t="shared" si="1"/>
        <v>139.836</v>
      </c>
      <c r="H55" s="439">
        <f t="shared" si="4"/>
        <v>0.1518</v>
      </c>
      <c r="I55" s="449">
        <f t="shared" si="5"/>
        <v>1081.5548</v>
      </c>
      <c r="L55" s="327"/>
      <c r="M55" s="105" t="s">
        <v>230</v>
      </c>
      <c r="N55" s="162" t="s">
        <v>229</v>
      </c>
      <c r="Q55" s="546"/>
    </row>
    <row r="56" spans="2:17" ht="13.5">
      <c r="B56" s="468">
        <v>1118.45</v>
      </c>
      <c r="C56" s="440">
        <f t="shared" si="2"/>
        <v>7125.24</v>
      </c>
      <c r="D56" s="441">
        <f t="shared" si="0"/>
        <v>7606.24</v>
      </c>
      <c r="E56" s="444">
        <f t="shared" si="3"/>
        <v>481.01</v>
      </c>
      <c r="F56" s="439">
        <v>0.325</v>
      </c>
      <c r="G56" s="445">
        <f t="shared" si="1"/>
        <v>156.3283</v>
      </c>
      <c r="H56" s="439">
        <f t="shared" si="4"/>
        <v>0.1627</v>
      </c>
      <c r="I56" s="449">
        <f t="shared" si="5"/>
        <v>1237.8831</v>
      </c>
      <c r="L56" s="327"/>
      <c r="M56" s="81">
        <v>0</v>
      </c>
      <c r="N56" s="163">
        <v>0</v>
      </c>
      <c r="Q56" s="546"/>
    </row>
    <row r="57" spans="2:17" ht="13.5">
      <c r="B57" s="468">
        <v>1186.99</v>
      </c>
      <c r="C57" s="440">
        <f t="shared" si="2"/>
        <v>7606.25</v>
      </c>
      <c r="D57" s="441">
        <f t="shared" si="0"/>
        <v>8072.36</v>
      </c>
      <c r="E57" s="444">
        <f t="shared" si="3"/>
        <v>466.12</v>
      </c>
      <c r="F57" s="439">
        <v>0.35</v>
      </c>
      <c r="G57" s="445">
        <f t="shared" si="1"/>
        <v>163.142</v>
      </c>
      <c r="H57" s="439">
        <f t="shared" si="4"/>
        <v>0.1736</v>
      </c>
      <c r="I57" s="449">
        <f t="shared" si="5"/>
        <v>1401.0251</v>
      </c>
      <c r="L57" s="327"/>
      <c r="M57" s="82">
        <v>600</v>
      </c>
      <c r="N57" s="389">
        <f>Param_Calculette!B25</f>
        <v>233.58</v>
      </c>
      <c r="Q57" s="546"/>
    </row>
    <row r="58" spans="2:17" ht="14.25" thickBot="1">
      <c r="B58" s="468">
        <v>1257.69</v>
      </c>
      <c r="C58" s="440">
        <f t="shared" si="2"/>
        <v>8072.37</v>
      </c>
      <c r="D58" s="441">
        <f t="shared" si="0"/>
        <v>8553.17</v>
      </c>
      <c r="E58" s="444">
        <f t="shared" si="3"/>
        <v>480.81</v>
      </c>
      <c r="F58" s="439">
        <v>0.4</v>
      </c>
      <c r="G58" s="445">
        <f t="shared" si="1"/>
        <v>192.324</v>
      </c>
      <c r="H58" s="439">
        <f t="shared" si="4"/>
        <v>0.1863</v>
      </c>
      <c r="I58" s="449">
        <f t="shared" si="5"/>
        <v>1593.3491</v>
      </c>
      <c r="L58" s="113"/>
      <c r="M58" s="485">
        <v>1200.01</v>
      </c>
      <c r="N58" s="486">
        <f>Param_Calculette!B26</f>
        <v>467.12</v>
      </c>
      <c r="Q58" s="546"/>
    </row>
    <row r="59" spans="2:17" ht="15" thickBot="1">
      <c r="B59" s="450"/>
      <c r="C59" s="451">
        <f t="shared" si="2"/>
        <v>8553.18</v>
      </c>
      <c r="D59" s="469">
        <v>99999.99</v>
      </c>
      <c r="E59" s="470">
        <f t="shared" si="3"/>
        <v>91446.82</v>
      </c>
      <c r="F59" s="452">
        <v>0.45</v>
      </c>
      <c r="G59" s="471">
        <f t="shared" si="1"/>
        <v>41151.069</v>
      </c>
      <c r="H59" s="472">
        <f t="shared" si="4"/>
        <v>0.4274</v>
      </c>
      <c r="I59" s="473">
        <f t="shared" si="5"/>
        <v>42744.4181</v>
      </c>
      <c r="Q59" s="546"/>
    </row>
    <row r="60" ht="13.5">
      <c r="Q60" s="546"/>
    </row>
    <row r="61" ht="13.5">
      <c r="Q61" s="546"/>
    </row>
    <row r="62" spans="17:23" ht="13.5">
      <c r="Q62" s="546"/>
      <c r="S62" s="3"/>
      <c r="T62" s="3"/>
      <c r="U62" s="3"/>
      <c r="V62" s="3"/>
      <c r="W62" s="3"/>
    </row>
    <row r="63" ht="13.5">
      <c r="Q63" s="546"/>
    </row>
    <row r="64" spans="2:23" s="3" customFormat="1" ht="13.5"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546"/>
      <c r="S64" s="1"/>
      <c r="T64" s="1"/>
      <c r="U64" s="1"/>
      <c r="V64" s="1"/>
      <c r="W64" s="1"/>
    </row>
    <row r="65" spans="15:17" ht="13.5">
      <c r="O65" s="3"/>
      <c r="P65" s="3"/>
      <c r="Q65" s="3"/>
    </row>
  </sheetData>
  <sheetProtection password="CF11" sheet="1"/>
  <mergeCells count="1">
    <mergeCell ref="F3:G3"/>
  </mergeCells>
  <printOptions horizontalCentered="1"/>
  <pageMargins left="0.35433070866141736" right="0.35433070866141736" top="0.1968503937007874" bottom="0.1968503937007874" header="0.11811023622047245" footer="0.11811023622047245"/>
  <pageSetup cellComments="asDisplayed" fitToHeight="1" fitToWidth="1" horizontalDpi="300" verticalDpi="300" orientation="portrait" paperSize="9" scale="66" r:id="rId4"/>
  <headerFooter alignWithMargins="0">
    <oddHeader>&amp;C&amp;16&amp;A</oddHeader>
    <oddFooter>&amp;R&amp;8&amp;F &amp;A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80" zoomScaleNormal="80" zoomScalePageLayoutView="0" workbookViewId="0" topLeftCell="A40">
      <selection activeCell="N25" sqref="N25"/>
    </sheetView>
  </sheetViews>
  <sheetFormatPr defaultColWidth="9.140625" defaultRowHeight="12.75"/>
  <cols>
    <col min="1" max="1" width="18.8515625" style="689" customWidth="1"/>
    <col min="2" max="2" width="25.140625" style="743" customWidth="1"/>
    <col min="3" max="3" width="10.140625" style="743" customWidth="1"/>
    <col min="4" max="4" width="13.00390625" style="743" bestFit="1" customWidth="1"/>
    <col min="5" max="5" width="12.8515625" style="689" customWidth="1"/>
    <col min="6" max="6" width="20.421875" style="689" customWidth="1"/>
    <col min="7" max="7" width="12.57421875" style="689" customWidth="1"/>
    <col min="8" max="8" width="26.140625" style="689" customWidth="1"/>
    <col min="9" max="10" width="12.8515625" style="689" customWidth="1"/>
    <col min="11" max="11" width="23.140625" style="689" customWidth="1"/>
    <col min="12" max="12" width="6.421875" style="689" customWidth="1"/>
    <col min="13" max="13" width="1.8515625" style="689" customWidth="1"/>
    <col min="14" max="14" width="42.421875" style="689" bestFit="1" customWidth="1"/>
    <col min="15" max="16384" width="9.140625" style="689" customWidth="1"/>
  </cols>
  <sheetData>
    <row r="1" spans="1:22" ht="15.75">
      <c r="A1" s="684" t="s">
        <v>617</v>
      </c>
      <c r="B1" s="685"/>
      <c r="C1" s="685"/>
      <c r="D1" s="685"/>
      <c r="E1" s="686"/>
      <c r="F1" s="686"/>
      <c r="G1" s="687"/>
      <c r="H1" s="684" t="s">
        <v>685</v>
      </c>
      <c r="I1" s="685"/>
      <c r="J1" s="685"/>
      <c r="K1" s="685"/>
      <c r="L1" s="686"/>
      <c r="M1" s="686"/>
      <c r="N1" s="687"/>
      <c r="O1" s="688"/>
      <c r="P1" s="688"/>
      <c r="Q1" s="688"/>
      <c r="R1" s="688"/>
      <c r="S1" s="688"/>
      <c r="T1" s="688"/>
      <c r="U1" s="688"/>
      <c r="V1" s="688"/>
    </row>
    <row r="2" spans="1:14" ht="15.75">
      <c r="A2" s="690" t="s">
        <v>618</v>
      </c>
      <c r="B2" s="691"/>
      <c r="C2" s="691"/>
      <c r="D2" s="691"/>
      <c r="E2" s="692"/>
      <c r="F2" s="692"/>
      <c r="G2" s="693"/>
      <c r="H2" s="690" t="s">
        <v>619</v>
      </c>
      <c r="I2" s="691"/>
      <c r="J2" s="691"/>
      <c r="K2" s="691"/>
      <c r="L2" s="692"/>
      <c r="M2" s="692"/>
      <c r="N2" s="693"/>
    </row>
    <row r="3" spans="1:14" ht="16.5" thickBot="1">
      <c r="A3" s="694" t="s">
        <v>620</v>
      </c>
      <c r="B3" s="695"/>
      <c r="C3" s="695"/>
      <c r="D3" s="695"/>
      <c r="E3" s="696"/>
      <c r="F3" s="696"/>
      <c r="G3" s="697"/>
      <c r="H3" s="694" t="s">
        <v>620</v>
      </c>
      <c r="I3" s="695"/>
      <c r="J3" s="695"/>
      <c r="K3" s="695"/>
      <c r="L3" s="696"/>
      <c r="M3" s="696"/>
      <c r="N3" s="697"/>
    </row>
    <row r="4" spans="1:12" s="701" customFormat="1" ht="15.75">
      <c r="A4" s="698"/>
      <c r="B4" s="699"/>
      <c r="C4" s="699"/>
      <c r="D4" s="699"/>
      <c r="E4" s="700"/>
      <c r="F4" s="700"/>
      <c r="G4" s="700"/>
      <c r="I4" s="702"/>
      <c r="J4" s="703"/>
      <c r="K4" s="704"/>
      <c r="L4" s="705"/>
    </row>
    <row r="5" spans="1:12" s="708" customFormat="1" ht="24.75" customHeight="1">
      <c r="A5" s="706"/>
      <c r="B5" s="748" t="s">
        <v>621</v>
      </c>
      <c r="C5" s="748"/>
      <c r="D5" s="748"/>
      <c r="E5" s="749"/>
      <c r="F5" s="749"/>
      <c r="G5" s="749"/>
      <c r="H5" s="749" t="s">
        <v>622</v>
      </c>
      <c r="I5" s="707"/>
      <c r="L5" s="706"/>
    </row>
    <row r="6" spans="1:12" s="708" customFormat="1" ht="24.75" customHeight="1">
      <c r="A6" s="709"/>
      <c r="B6" s="710" t="s">
        <v>623</v>
      </c>
      <c r="C6" s="711"/>
      <c r="D6" s="711"/>
      <c r="E6" s="750">
        <v>4364.48</v>
      </c>
      <c r="F6" s="712"/>
      <c r="G6" s="712"/>
      <c r="H6" s="713" t="s">
        <v>624</v>
      </c>
      <c r="I6" s="711"/>
      <c r="J6" s="750">
        <v>3701.91</v>
      </c>
      <c r="K6" s="712"/>
      <c r="L6" s="712"/>
    </row>
    <row r="7" spans="1:12" s="708" customFormat="1" ht="24.75" customHeight="1">
      <c r="A7" s="714" t="s">
        <v>767</v>
      </c>
      <c r="B7" s="715"/>
      <c r="C7" s="715"/>
      <c r="D7" s="715"/>
      <c r="E7" s="712"/>
      <c r="F7" s="712" t="s">
        <v>625</v>
      </c>
      <c r="G7" s="712"/>
      <c r="H7" s="715"/>
      <c r="I7" s="715"/>
      <c r="J7" s="712"/>
      <c r="K7" s="712" t="s">
        <v>625</v>
      </c>
      <c r="L7" s="712"/>
    </row>
    <row r="8" spans="1:12" s="708" customFormat="1" ht="24.75" customHeight="1">
      <c r="A8" s="709" t="s">
        <v>626</v>
      </c>
      <c r="B8" s="713" t="s">
        <v>627</v>
      </c>
      <c r="C8" s="713" t="s">
        <v>628</v>
      </c>
      <c r="D8" s="713" t="s">
        <v>629</v>
      </c>
      <c r="E8" s="709" t="s">
        <v>550</v>
      </c>
      <c r="F8" s="709" t="s">
        <v>630</v>
      </c>
      <c r="G8" s="709" t="s">
        <v>379</v>
      </c>
      <c r="H8" s="713" t="s">
        <v>627</v>
      </c>
      <c r="I8" s="713" t="s">
        <v>629</v>
      </c>
      <c r="J8" s="709" t="s">
        <v>550</v>
      </c>
      <c r="K8" s="709" t="s">
        <v>630</v>
      </c>
      <c r="L8" s="709" t="s">
        <v>379</v>
      </c>
    </row>
    <row r="9" spans="1:12" ht="12" customHeight="1">
      <c r="A9" s="716"/>
      <c r="B9" s="717"/>
      <c r="C9" s="718"/>
      <c r="D9" s="718"/>
      <c r="E9" s="716"/>
      <c r="F9" s="718"/>
      <c r="G9" s="716"/>
      <c r="H9" s="718"/>
      <c r="I9" s="718"/>
      <c r="J9" s="716"/>
      <c r="K9" s="718"/>
      <c r="L9" s="716"/>
    </row>
    <row r="10" spans="1:12" s="708" customFormat="1" ht="24.75" customHeight="1">
      <c r="A10" s="712" t="s">
        <v>631</v>
      </c>
      <c r="B10" s="719"/>
      <c r="C10" s="720">
        <f>Param_Calculette!E44</f>
        <v>100.6</v>
      </c>
      <c r="D10" s="721"/>
      <c r="E10" s="712"/>
      <c r="F10" s="722">
        <f>E6*12*C10/100</f>
        <v>52688</v>
      </c>
      <c r="G10" s="712" t="s">
        <v>379</v>
      </c>
      <c r="H10" s="746"/>
      <c r="I10" s="721"/>
      <c r="J10" s="712"/>
      <c r="K10" s="722">
        <f>J6*12*C10/100</f>
        <v>44689.46</v>
      </c>
      <c r="L10" s="712" t="s">
        <v>379</v>
      </c>
    </row>
    <row r="11" spans="1:12" s="708" customFormat="1" ht="24.75" customHeight="1">
      <c r="A11" s="712" t="s">
        <v>632</v>
      </c>
      <c r="B11" s="722"/>
      <c r="C11" s="720">
        <f>Param_Calculette!E61</f>
        <v>109.8</v>
      </c>
      <c r="D11" s="721"/>
      <c r="E11" s="712"/>
      <c r="F11" s="722">
        <f>E6*12*C11/100</f>
        <v>57506.39</v>
      </c>
      <c r="G11" s="712" t="s">
        <v>379</v>
      </c>
      <c r="H11" s="723"/>
      <c r="I11" s="721"/>
      <c r="J11" s="712"/>
      <c r="K11" s="722">
        <f>J6*12*C11/100</f>
        <v>48776.37</v>
      </c>
      <c r="L11" s="712" t="s">
        <v>379</v>
      </c>
    </row>
    <row r="12" spans="1:12" s="708" customFormat="1" ht="24.75" customHeight="1">
      <c r="A12" s="724" t="s">
        <v>633</v>
      </c>
      <c r="B12" s="725"/>
      <c r="C12" s="726">
        <v>100</v>
      </c>
      <c r="D12" s="727"/>
      <c r="E12" s="724"/>
      <c r="F12" s="725">
        <f>E6*12*C12/100</f>
        <v>52373.76</v>
      </c>
      <c r="G12" s="724" t="s">
        <v>379</v>
      </c>
      <c r="H12" s="726"/>
      <c r="I12" s="727"/>
      <c r="J12" s="724"/>
      <c r="K12" s="725">
        <f>J6*12*C12/100</f>
        <v>44422.92</v>
      </c>
      <c r="L12" s="724" t="s">
        <v>379</v>
      </c>
    </row>
    <row r="13" spans="1:12" s="708" customFormat="1" ht="24.75" customHeight="1">
      <c r="A13" s="712" t="s">
        <v>634</v>
      </c>
      <c r="B13" s="722">
        <f>F13*D13</f>
        <v>66581.18</v>
      </c>
      <c r="C13" s="726">
        <f>Param_Calculette!E41</f>
        <v>65</v>
      </c>
      <c r="D13" s="727">
        <f>Param_Calculette!H41</f>
        <v>1.9558</v>
      </c>
      <c r="E13" s="712" t="s">
        <v>552</v>
      </c>
      <c r="F13" s="725">
        <f>E6*12*C13/100</f>
        <v>34042.94</v>
      </c>
      <c r="G13" s="712" t="s">
        <v>379</v>
      </c>
      <c r="H13" s="722">
        <f>K13*I13</f>
        <v>56473.53</v>
      </c>
      <c r="I13" s="728">
        <f>+D13</f>
        <v>1.9558</v>
      </c>
      <c r="J13" s="724" t="str">
        <f>+E13</f>
        <v>BGN</v>
      </c>
      <c r="K13" s="722">
        <f>J6*12*C13/100</f>
        <v>28874.9</v>
      </c>
      <c r="L13" s="712" t="s">
        <v>379</v>
      </c>
    </row>
    <row r="14" spans="1:12" s="708" customFormat="1" ht="24.75" customHeight="1">
      <c r="A14" s="724" t="s">
        <v>635</v>
      </c>
      <c r="B14" s="729"/>
      <c r="C14" s="730">
        <f>Param_Calculette!E55</f>
        <v>92</v>
      </c>
      <c r="D14" s="731"/>
      <c r="E14" s="712"/>
      <c r="F14" s="722">
        <f>E6*12*C14/100</f>
        <v>48183.86</v>
      </c>
      <c r="G14" s="712" t="s">
        <v>379</v>
      </c>
      <c r="H14" s="722"/>
      <c r="I14" s="731"/>
      <c r="J14" s="712"/>
      <c r="K14" s="722">
        <f>J6*12*C14/100</f>
        <v>40869.09</v>
      </c>
      <c r="L14" s="712" t="s">
        <v>379</v>
      </c>
    </row>
    <row r="15" spans="1:12" s="708" customFormat="1" ht="24.75" customHeight="1">
      <c r="A15" s="712" t="s">
        <v>636</v>
      </c>
      <c r="B15" s="722">
        <f>F15*D15</f>
        <v>0</v>
      </c>
      <c r="C15" s="726">
        <f>Param_Calculette!E70</f>
        <v>0</v>
      </c>
      <c r="D15" s="727">
        <f>Param_Calculette!H70</f>
        <v>0.8646</v>
      </c>
      <c r="E15" s="712" t="s">
        <v>594</v>
      </c>
      <c r="F15" s="722">
        <f>E6*12*C15/100</f>
        <v>0</v>
      </c>
      <c r="G15" s="724" t="s">
        <v>379</v>
      </c>
      <c r="H15" s="722">
        <f>K15*I15</f>
        <v>0</v>
      </c>
      <c r="I15" s="728">
        <f>+D15</f>
        <v>0.8646</v>
      </c>
      <c r="J15" s="724" t="str">
        <f>+E15</f>
        <v>HRK</v>
      </c>
      <c r="K15" s="722">
        <f>J6*12*C15/100</f>
        <v>0</v>
      </c>
      <c r="L15" s="724" t="s">
        <v>379</v>
      </c>
    </row>
    <row r="16" spans="1:12" s="708" customFormat="1" ht="24.75" customHeight="1">
      <c r="A16" s="712" t="s">
        <v>637</v>
      </c>
      <c r="B16" s="722">
        <f>F16*D16</f>
        <v>524816.59</v>
      </c>
      <c r="C16" s="726">
        <f>Param_Calculette!E43</f>
        <v>134.7</v>
      </c>
      <c r="D16" s="727">
        <f>Param_Calculette!H43</f>
        <v>7.4392</v>
      </c>
      <c r="E16" s="712" t="s">
        <v>554</v>
      </c>
      <c r="F16" s="722">
        <f>E6*12*C16/100</f>
        <v>70547.45</v>
      </c>
      <c r="G16" s="712" t="s">
        <v>379</v>
      </c>
      <c r="H16" s="722">
        <f>K16*I16</f>
        <v>445144.39</v>
      </c>
      <c r="I16" s="728">
        <f>+D16</f>
        <v>7.4392</v>
      </c>
      <c r="J16" s="724" t="str">
        <f>+E16</f>
        <v>DKK</v>
      </c>
      <c r="K16" s="722">
        <f>J6*12*C16/100</f>
        <v>59837.67</v>
      </c>
      <c r="L16" s="712" t="s">
        <v>379</v>
      </c>
    </row>
    <row r="17" spans="1:12" s="708" customFormat="1" ht="24.75" customHeight="1">
      <c r="A17" s="712" t="s">
        <v>638</v>
      </c>
      <c r="B17" s="722"/>
      <c r="C17" s="726">
        <f>Param_Calculette!E50</f>
        <v>89.4</v>
      </c>
      <c r="D17" s="728"/>
      <c r="E17" s="712"/>
      <c r="F17" s="722">
        <f>E6*12*C17/100</f>
        <v>46822.14</v>
      </c>
      <c r="G17" s="712" t="s">
        <v>379</v>
      </c>
      <c r="H17" s="722"/>
      <c r="I17" s="728"/>
      <c r="J17" s="712"/>
      <c r="K17" s="722">
        <f>J6*12*C17/100</f>
        <v>39714.09</v>
      </c>
      <c r="L17" s="712" t="s">
        <v>379</v>
      </c>
    </row>
    <row r="18" spans="1:12" s="708" customFormat="1" ht="24.75" customHeight="1">
      <c r="A18" s="712" t="s">
        <v>639</v>
      </c>
      <c r="B18" s="722"/>
      <c r="C18" s="726">
        <f>Param_Calculette!E48</f>
        <v>94.1</v>
      </c>
      <c r="D18" s="728"/>
      <c r="E18" s="712"/>
      <c r="F18" s="722">
        <f>E6*12*C18/100</f>
        <v>49283.71</v>
      </c>
      <c r="G18" s="712" t="s">
        <v>379</v>
      </c>
      <c r="H18" s="722"/>
      <c r="I18" s="728"/>
      <c r="J18" s="712"/>
      <c r="K18" s="722">
        <f>J6*12*C18/100</f>
        <v>41801.97</v>
      </c>
      <c r="L18" s="712" t="s">
        <v>379</v>
      </c>
    </row>
    <row r="19" spans="1:12" s="708" customFormat="1" ht="24.75" customHeight="1">
      <c r="A19" s="712" t="s">
        <v>640</v>
      </c>
      <c r="B19" s="722"/>
      <c r="C19" s="726">
        <f>Param_Calculette!E67</f>
        <v>81.3</v>
      </c>
      <c r="D19" s="728"/>
      <c r="E19" s="712"/>
      <c r="F19" s="722">
        <f>E6*12*C19/100</f>
        <v>42579.87</v>
      </c>
      <c r="G19" s="712" t="s">
        <v>379</v>
      </c>
      <c r="H19" s="722"/>
      <c r="I19" s="728"/>
      <c r="J19" s="712"/>
      <c r="K19" s="722">
        <f>J6*12*C19/100</f>
        <v>36115.83</v>
      </c>
      <c r="L19" s="712" t="s">
        <v>379</v>
      </c>
    </row>
    <row r="20" spans="1:12" s="708" customFormat="1" ht="24.75" customHeight="1">
      <c r="A20" s="712" t="s">
        <v>641</v>
      </c>
      <c r="B20" s="722"/>
      <c r="C20" s="726">
        <f>Param_Calculette!E51</f>
        <v>97.4</v>
      </c>
      <c r="D20" s="728"/>
      <c r="E20" s="712"/>
      <c r="F20" s="722">
        <f>E6*12*C20/100</f>
        <v>51012.04</v>
      </c>
      <c r="G20" s="712" t="s">
        <v>379</v>
      </c>
      <c r="H20" s="722"/>
      <c r="I20" s="728"/>
      <c r="J20" s="712"/>
      <c r="K20" s="722">
        <f>J6*12*C20/100</f>
        <v>43267.92</v>
      </c>
      <c r="L20" s="712" t="s">
        <v>379</v>
      </c>
    </row>
    <row r="21" spans="1:12" s="708" customFormat="1" ht="24.75" customHeight="1">
      <c r="A21" s="724" t="s">
        <v>642</v>
      </c>
      <c r="B21" s="722"/>
      <c r="C21" s="726">
        <f>Param_Calculette!E49</f>
        <v>136.3</v>
      </c>
      <c r="D21" s="728"/>
      <c r="E21" s="712"/>
      <c r="F21" s="722">
        <f>E6*12*C21/100</f>
        <v>71385.43</v>
      </c>
      <c r="G21" s="712" t="s">
        <v>379</v>
      </c>
      <c r="H21" s="722"/>
      <c r="I21" s="728"/>
      <c r="J21" s="712"/>
      <c r="K21" s="722">
        <f>J6*12*C21/100</f>
        <v>60548.44</v>
      </c>
      <c r="L21" s="712" t="s">
        <v>379</v>
      </c>
    </row>
    <row r="22" spans="1:12" s="708" customFormat="1" ht="24.75" customHeight="1">
      <c r="A22" s="712" t="s">
        <v>643</v>
      </c>
      <c r="B22" s="722">
        <f>F22*D22</f>
        <v>45774.67</v>
      </c>
      <c r="C22" s="726">
        <f>Param_Calculette!E58</f>
        <v>87.4</v>
      </c>
      <c r="D22" s="726">
        <f>Param_Calculette!H58</f>
        <v>1</v>
      </c>
      <c r="E22" s="712" t="s">
        <v>555</v>
      </c>
      <c r="F22" s="722">
        <f>E6*12*C22/100</f>
        <v>45774.67</v>
      </c>
      <c r="G22" s="712" t="s">
        <v>379</v>
      </c>
      <c r="H22" s="722">
        <f>K22*I22</f>
        <v>38825.63</v>
      </c>
      <c r="I22" s="728">
        <f>+D22</f>
        <v>1</v>
      </c>
      <c r="J22" s="724" t="str">
        <f>+E22</f>
        <v>HUF</v>
      </c>
      <c r="K22" s="722">
        <f>J6*12*C22/100</f>
        <v>38825.63</v>
      </c>
      <c r="L22" s="712" t="s">
        <v>379</v>
      </c>
    </row>
    <row r="23" spans="1:12" s="708" customFormat="1" ht="24.75" customHeight="1">
      <c r="A23" s="712" t="s">
        <v>644</v>
      </c>
      <c r="B23" s="722"/>
      <c r="C23" s="726">
        <f>Param_Calculette!E52</f>
        <v>116.8</v>
      </c>
      <c r="D23" s="728"/>
      <c r="E23" s="712"/>
      <c r="F23" s="722">
        <f>E6*12*C23/100</f>
        <v>61172.55</v>
      </c>
      <c r="G23" s="712" t="s">
        <v>379</v>
      </c>
      <c r="H23" s="722"/>
      <c r="I23" s="728"/>
      <c r="J23" s="712"/>
      <c r="K23" s="722">
        <f>J6*12*C23/100</f>
        <v>51885.97</v>
      </c>
      <c r="L23" s="712" t="s">
        <v>379</v>
      </c>
    </row>
    <row r="24" spans="1:12" s="708" customFormat="1" ht="24.75" customHeight="1">
      <c r="A24" s="712" t="s">
        <v>645</v>
      </c>
      <c r="B24" s="722"/>
      <c r="C24" s="726">
        <f>Param_Calculette!E53</f>
        <v>80</v>
      </c>
      <c r="D24" s="728"/>
      <c r="E24" s="712"/>
      <c r="F24" s="722">
        <f>E6*12*C24/100</f>
        <v>41899.01</v>
      </c>
      <c r="G24" s="712" t="s">
        <v>379</v>
      </c>
      <c r="H24" s="722"/>
      <c r="I24" s="728"/>
      <c r="J24" s="712"/>
      <c r="K24" s="722">
        <f>J6*12*C24/100</f>
        <v>35538.34</v>
      </c>
      <c r="L24" s="712" t="s">
        <v>379</v>
      </c>
    </row>
    <row r="25" spans="1:12" s="708" customFormat="1" ht="24.75" customHeight="1">
      <c r="A25" s="712" t="s">
        <v>646</v>
      </c>
      <c r="B25" s="722"/>
      <c r="C25" s="726">
        <f>Param_Calculette!E56</f>
        <v>82.6</v>
      </c>
      <c r="D25" s="728"/>
      <c r="E25" s="712"/>
      <c r="F25" s="722">
        <f>E6*12*C25/100</f>
        <v>43260.73</v>
      </c>
      <c r="G25" s="712" t="s">
        <v>379</v>
      </c>
      <c r="H25" s="722"/>
      <c r="I25" s="728"/>
      <c r="J25" s="712"/>
      <c r="K25" s="722">
        <f>J6*12*C25/100</f>
        <v>36693.33</v>
      </c>
      <c r="L25" s="712" t="s">
        <v>379</v>
      </c>
    </row>
    <row r="26" spans="1:12" s="708" customFormat="1" ht="24.75" customHeight="1">
      <c r="A26" s="712" t="s">
        <v>647</v>
      </c>
      <c r="B26" s="722"/>
      <c r="C26" s="726">
        <f>Param_Calculette!E57</f>
        <v>85.9</v>
      </c>
      <c r="D26" s="732"/>
      <c r="E26" s="712"/>
      <c r="F26" s="725">
        <f>E6*12*C26/100</f>
        <v>44989.06</v>
      </c>
      <c r="G26" s="712" t="s">
        <v>379</v>
      </c>
      <c r="H26" s="722"/>
      <c r="I26" s="728"/>
      <c r="J26" s="712"/>
      <c r="K26" s="722">
        <f>J6*12*C26/100</f>
        <v>38159.29</v>
      </c>
      <c r="L26" s="712" t="s">
        <v>379</v>
      </c>
    </row>
    <row r="27" spans="1:12" s="708" customFormat="1" ht="24.75" customHeight="1">
      <c r="A27" s="712" t="s">
        <v>648</v>
      </c>
      <c r="B27" s="722"/>
      <c r="C27" s="733">
        <v>100</v>
      </c>
      <c r="D27" s="728"/>
      <c r="E27" s="712"/>
      <c r="F27" s="725">
        <f>E6*12*C27/100</f>
        <v>52373.76</v>
      </c>
      <c r="G27" s="712" t="s">
        <v>379</v>
      </c>
      <c r="H27" s="722"/>
      <c r="I27" s="728"/>
      <c r="J27" s="712"/>
      <c r="K27" s="722">
        <f>J6*12*C27/100</f>
        <v>44422.92</v>
      </c>
      <c r="L27" s="712" t="s">
        <v>379</v>
      </c>
    </row>
    <row r="28" spans="1:12" s="708" customFormat="1" ht="24.75" customHeight="1">
      <c r="A28" s="712" t="s">
        <v>649</v>
      </c>
      <c r="B28" s="722"/>
      <c r="C28" s="726">
        <f>Param_Calculette!E59</f>
        <v>69.6</v>
      </c>
      <c r="D28" s="728"/>
      <c r="E28" s="712"/>
      <c r="F28" s="722">
        <f>E6*12*C28/100</f>
        <v>36452.14</v>
      </c>
      <c r="G28" s="712" t="s">
        <v>379</v>
      </c>
      <c r="H28" s="722"/>
      <c r="I28" s="728"/>
      <c r="J28" s="712"/>
      <c r="K28" s="722">
        <f>J6*12*C28/100</f>
        <v>30918.35</v>
      </c>
      <c r="L28" s="712" t="s">
        <v>379</v>
      </c>
    </row>
    <row r="29" spans="1:12" s="708" customFormat="1" ht="24.75" customHeight="1">
      <c r="A29" s="712" t="s">
        <v>650</v>
      </c>
      <c r="B29" s="722"/>
      <c r="C29" s="726">
        <f>Param_Calculette!E60</f>
        <v>92.1</v>
      </c>
      <c r="D29" s="728"/>
      <c r="E29" s="712"/>
      <c r="F29" s="722">
        <f>E6*12*C29/100</f>
        <v>48236.23</v>
      </c>
      <c r="G29" s="712" t="s">
        <v>379</v>
      </c>
      <c r="H29" s="722"/>
      <c r="I29" s="728"/>
      <c r="J29" s="712"/>
      <c r="K29" s="722">
        <f>J6*12*C29/100</f>
        <v>40913.51</v>
      </c>
      <c r="L29" s="712" t="s">
        <v>379</v>
      </c>
    </row>
    <row r="30" spans="1:12" s="708" customFormat="1" ht="24.75" customHeight="1">
      <c r="A30" s="712" t="s">
        <v>651</v>
      </c>
      <c r="B30" s="722">
        <f>F30*D30</f>
        <v>56982.65</v>
      </c>
      <c r="C30" s="726">
        <f>Param_Calculette!E62</f>
        <v>108.8</v>
      </c>
      <c r="D30" s="727">
        <f>Param_Calculette!H62</f>
        <v>1</v>
      </c>
      <c r="E30" s="712" t="s">
        <v>556</v>
      </c>
      <c r="F30" s="722">
        <f>E6*12*C30/100</f>
        <v>56982.65</v>
      </c>
      <c r="G30" s="712" t="s">
        <v>379</v>
      </c>
      <c r="H30" s="722">
        <f>K30*I30</f>
        <v>48332.14</v>
      </c>
      <c r="I30" s="728">
        <f>+D30</f>
        <v>1</v>
      </c>
      <c r="J30" s="724" t="str">
        <f>+E30</f>
        <v>PLN</v>
      </c>
      <c r="K30" s="722">
        <f>J6*12*C30/100</f>
        <v>48332.14</v>
      </c>
      <c r="L30" s="712" t="s">
        <v>379</v>
      </c>
    </row>
    <row r="31" spans="1:12" s="708" customFormat="1" ht="24.75" customHeight="1">
      <c r="A31" s="712" t="s">
        <v>652</v>
      </c>
      <c r="B31" s="722"/>
      <c r="C31" s="726">
        <f>Param_Calculette!E63</f>
        <v>71.7</v>
      </c>
      <c r="D31" s="728"/>
      <c r="E31" s="712"/>
      <c r="F31" s="722">
        <f>E6*12*C31/100</f>
        <v>37551.99</v>
      </c>
      <c r="G31" s="712" t="s">
        <v>379</v>
      </c>
      <c r="H31" s="722"/>
      <c r="I31" s="728"/>
      <c r="J31" s="712"/>
      <c r="K31" s="722">
        <f>J6*12*C31/100</f>
        <v>31851.23</v>
      </c>
      <c r="L31" s="712" t="s">
        <v>379</v>
      </c>
    </row>
    <row r="32" spans="1:12" s="708" customFormat="1" ht="39" customHeight="1">
      <c r="A32" s="734" t="s">
        <v>653</v>
      </c>
      <c r="B32" s="722">
        <f>F32*D32</f>
        <v>1237369.08</v>
      </c>
      <c r="C32" s="726">
        <f>Param_Calculette!E42</f>
        <v>95.5</v>
      </c>
      <c r="D32" s="735">
        <f>Param_Calculette!H42</f>
        <v>24.739</v>
      </c>
      <c r="E32" s="712" t="s">
        <v>553</v>
      </c>
      <c r="F32" s="722">
        <f>E6*12*C32/100</f>
        <v>50016.94</v>
      </c>
      <c r="G32" s="712" t="s">
        <v>379</v>
      </c>
      <c r="H32" s="722">
        <f>K32*I32</f>
        <v>1049524.61</v>
      </c>
      <c r="I32" s="728">
        <f aca="true" t="shared" si="0" ref="I32:J34">+D32</f>
        <v>24.739</v>
      </c>
      <c r="J32" s="724" t="str">
        <f t="shared" si="0"/>
        <v>CZK</v>
      </c>
      <c r="K32" s="722">
        <f>J6*12*C32/100</f>
        <v>42423.89</v>
      </c>
      <c r="L32" s="712" t="s">
        <v>379</v>
      </c>
    </row>
    <row r="33" spans="1:12" s="708" customFormat="1" ht="24.75" customHeight="1">
      <c r="A33" s="712" t="s">
        <v>654</v>
      </c>
      <c r="B33" s="722">
        <f>F33*D33</f>
        <v>50016.94</v>
      </c>
      <c r="C33" s="726">
        <f>Param_Calculette!E64</f>
        <v>95.5</v>
      </c>
      <c r="D33" s="727">
        <f>Param_Calculette!H64</f>
        <v>1</v>
      </c>
      <c r="E33" s="712" t="s">
        <v>557</v>
      </c>
      <c r="F33" s="722">
        <f>E6*12*C33/100</f>
        <v>50016.94</v>
      </c>
      <c r="G33" s="712" t="s">
        <v>379</v>
      </c>
      <c r="H33" s="722">
        <f>K33*I33</f>
        <v>42423.89</v>
      </c>
      <c r="I33" s="728">
        <f t="shared" si="0"/>
        <v>1</v>
      </c>
      <c r="J33" s="724" t="str">
        <f t="shared" si="0"/>
        <v>RON</v>
      </c>
      <c r="K33" s="722">
        <f>J6*12*C33/100</f>
        <v>42423.89</v>
      </c>
      <c r="L33" s="712" t="s">
        <v>379</v>
      </c>
    </row>
    <row r="34" spans="1:14" s="708" customFormat="1" ht="36" customHeight="1">
      <c r="A34" s="755" t="s">
        <v>655</v>
      </c>
      <c r="B34" s="756">
        <f>F34*D34</f>
        <v>49358.34</v>
      </c>
      <c r="C34" s="736">
        <v>109</v>
      </c>
      <c r="D34" s="867">
        <v>0.86461</v>
      </c>
      <c r="E34" s="741" t="s">
        <v>559</v>
      </c>
      <c r="F34" s="722">
        <f>E6*12*C34/100</f>
        <v>57087.4</v>
      </c>
      <c r="G34" s="712" t="s">
        <v>379</v>
      </c>
      <c r="H34" s="722">
        <f>K34*I34</f>
        <v>41864.78</v>
      </c>
      <c r="I34" s="728">
        <f t="shared" si="0"/>
        <v>0.8646</v>
      </c>
      <c r="J34" s="724" t="str">
        <f t="shared" si="0"/>
        <v>GBP</v>
      </c>
      <c r="K34" s="722">
        <f>J6*12*C34/100</f>
        <v>48420.98</v>
      </c>
      <c r="L34" s="712" t="s">
        <v>379</v>
      </c>
      <c r="N34" s="759" t="s">
        <v>697</v>
      </c>
    </row>
    <row r="35" spans="1:12" s="708" customFormat="1" ht="24.75" customHeight="1">
      <c r="A35" s="712" t="s">
        <v>656</v>
      </c>
      <c r="B35" s="722"/>
      <c r="C35" s="726">
        <f>Param_Calculette!E66</f>
        <v>87.1</v>
      </c>
      <c r="D35" s="728"/>
      <c r="E35" s="712"/>
      <c r="F35" s="722">
        <f>E6*12*C35/100</f>
        <v>45617.54</v>
      </c>
      <c r="G35" s="712" t="s">
        <v>379</v>
      </c>
      <c r="H35" s="722"/>
      <c r="I35" s="728"/>
      <c r="J35" s="712"/>
      <c r="K35" s="722">
        <f>J6*12*C35/100</f>
        <v>38692.36</v>
      </c>
      <c r="L35" s="712" t="s">
        <v>379</v>
      </c>
    </row>
    <row r="36" spans="1:12" s="708" customFormat="1" ht="24.75" customHeight="1">
      <c r="A36" s="712" t="s">
        <v>657</v>
      </c>
      <c r="B36" s="722"/>
      <c r="C36" s="726">
        <f>Param_Calculette!E65</f>
        <v>70.1</v>
      </c>
      <c r="D36" s="728"/>
      <c r="E36" s="712"/>
      <c r="F36" s="722">
        <f>E6*12*C36/100</f>
        <v>36714.01</v>
      </c>
      <c r="G36" s="712" t="s">
        <v>379</v>
      </c>
      <c r="H36" s="722"/>
      <c r="I36" s="728"/>
      <c r="J36" s="712"/>
      <c r="K36" s="722">
        <f>J6*12*C36/100</f>
        <v>31140.47</v>
      </c>
      <c r="L36" s="712" t="s">
        <v>379</v>
      </c>
    </row>
    <row r="37" spans="1:12" s="708" customFormat="1" ht="24.75" customHeight="1">
      <c r="A37" s="712" t="s">
        <v>658</v>
      </c>
      <c r="B37" s="722">
        <f>F37*D37</f>
        <v>61434.42</v>
      </c>
      <c r="C37" s="726">
        <f>Param_Calculette!E68</f>
        <v>117.3</v>
      </c>
      <c r="D37" s="727">
        <f>Param_Calculette!H68</f>
        <v>1</v>
      </c>
      <c r="E37" s="712" t="s">
        <v>558</v>
      </c>
      <c r="F37" s="722">
        <f>E6*12*C37/100</f>
        <v>61434.42</v>
      </c>
      <c r="G37" s="712" t="s">
        <v>379</v>
      </c>
      <c r="H37" s="725">
        <f>K37*I37</f>
        <v>52108.09</v>
      </c>
      <c r="I37" s="728">
        <f>+D37</f>
        <v>1</v>
      </c>
      <c r="J37" s="724" t="str">
        <f>+E37</f>
        <v>SEK</v>
      </c>
      <c r="K37" s="725">
        <f>J6*12*C37/100</f>
        <v>52108.09</v>
      </c>
      <c r="L37" s="712" t="s">
        <v>379</v>
      </c>
    </row>
    <row r="38" spans="1:12" s="708" customFormat="1" ht="24.75" customHeight="1">
      <c r="A38" s="712"/>
      <c r="B38" s="722"/>
      <c r="C38" s="723"/>
      <c r="D38" s="723"/>
      <c r="E38" s="712"/>
      <c r="F38" s="722"/>
      <c r="G38" s="712"/>
      <c r="H38" s="722"/>
      <c r="I38" s="723"/>
      <c r="J38" s="712"/>
      <c r="K38" s="725"/>
      <c r="L38" s="712"/>
    </row>
    <row r="39" spans="1:14" s="708" customFormat="1" ht="24.75" customHeight="1">
      <c r="A39" s="712" t="s">
        <v>659</v>
      </c>
      <c r="B39" s="725">
        <f aca="true" t="shared" si="1" ref="B39:B48">F39*D39</f>
        <v>85574.41</v>
      </c>
      <c r="C39" s="736">
        <v>107.1</v>
      </c>
      <c r="D39" s="737">
        <v>1.5256</v>
      </c>
      <c r="E39" s="724" t="s">
        <v>660</v>
      </c>
      <c r="F39" s="725">
        <f>E6*12*C39/100</f>
        <v>56092.3</v>
      </c>
      <c r="G39" s="724" t="s">
        <v>379</v>
      </c>
      <c r="H39" s="725">
        <f aca="true" t="shared" si="2" ref="H39:H48">K39*I39</f>
        <v>72583.39</v>
      </c>
      <c r="I39" s="727">
        <f aca="true" t="shared" si="3" ref="I39:I48">+D39</f>
        <v>1.5256</v>
      </c>
      <c r="J39" s="724" t="str">
        <f>+E39</f>
        <v>AUD</v>
      </c>
      <c r="K39" s="725">
        <f>J6*12*C39/100</f>
        <v>47576.95</v>
      </c>
      <c r="L39" s="724" t="s">
        <v>379</v>
      </c>
      <c r="N39" s="757" t="s">
        <v>687</v>
      </c>
    </row>
    <row r="40" spans="1:14" s="708" customFormat="1" ht="24.75" customHeight="1">
      <c r="A40" s="712" t="s">
        <v>661</v>
      </c>
      <c r="B40" s="725">
        <f t="shared" si="1"/>
        <v>76222.16</v>
      </c>
      <c r="C40" s="736">
        <v>107.7</v>
      </c>
      <c r="D40" s="737">
        <v>1.3513</v>
      </c>
      <c r="E40" s="724" t="s">
        <v>662</v>
      </c>
      <c r="F40" s="725">
        <f>E6*12*C40/100</f>
        <v>56406.54</v>
      </c>
      <c r="G40" s="724" t="s">
        <v>379</v>
      </c>
      <c r="H40" s="725">
        <f t="shared" si="2"/>
        <v>64650.89</v>
      </c>
      <c r="I40" s="727">
        <f t="shared" si="3"/>
        <v>1.3513</v>
      </c>
      <c r="J40" s="724" t="str">
        <f>+E40</f>
        <v>CAD</v>
      </c>
      <c r="K40" s="725">
        <f>J6*12*C40/100</f>
        <v>47843.48</v>
      </c>
      <c r="L40" s="724" t="s">
        <v>379</v>
      </c>
      <c r="N40" s="757" t="s">
        <v>688</v>
      </c>
    </row>
    <row r="41" spans="1:14" s="708" customFormat="1" ht="24.75" customHeight="1">
      <c r="A41" s="712" t="s">
        <v>663</v>
      </c>
      <c r="B41" s="725">
        <f t="shared" si="1"/>
        <v>29957503.71</v>
      </c>
      <c r="C41" s="736">
        <v>87.2</v>
      </c>
      <c r="D41" s="737">
        <v>655.957</v>
      </c>
      <c r="E41" s="724" t="s">
        <v>664</v>
      </c>
      <c r="F41" s="725">
        <f>E6*12*C41/100</f>
        <v>45669.92</v>
      </c>
      <c r="G41" s="724" t="s">
        <v>379</v>
      </c>
      <c r="H41" s="725">
        <f t="shared" si="2"/>
        <v>25409668.56</v>
      </c>
      <c r="I41" s="727">
        <f t="shared" si="3"/>
        <v>655.957</v>
      </c>
      <c r="J41" s="724" t="str">
        <f>+E41</f>
        <v>XOF</v>
      </c>
      <c r="K41" s="725">
        <f>J6*12*C41/100</f>
        <v>38736.79</v>
      </c>
      <c r="L41" s="724" t="s">
        <v>379</v>
      </c>
      <c r="N41" s="757" t="s">
        <v>689</v>
      </c>
    </row>
    <row r="42" spans="1:14" s="708" customFormat="1" ht="24.75" customHeight="1">
      <c r="A42" s="712" t="s">
        <v>665</v>
      </c>
      <c r="B42" s="725">
        <f t="shared" si="1"/>
        <v>6945291.82</v>
      </c>
      <c r="C42" s="736">
        <v>92.7</v>
      </c>
      <c r="D42" s="737">
        <v>143.053</v>
      </c>
      <c r="E42" s="724" t="s">
        <v>666</v>
      </c>
      <c r="F42" s="725">
        <f>E6*12*C42/100</f>
        <v>48550.48</v>
      </c>
      <c r="G42" s="724" t="s">
        <v>379</v>
      </c>
      <c r="H42" s="725">
        <f t="shared" si="2"/>
        <v>5890929.69</v>
      </c>
      <c r="I42" s="727">
        <f t="shared" si="3"/>
        <v>143.053</v>
      </c>
      <c r="J42" s="724" t="s">
        <v>666</v>
      </c>
      <c r="K42" s="725">
        <f>J6*12*C42/100</f>
        <v>41180.05</v>
      </c>
      <c r="L42" s="724" t="s">
        <v>379</v>
      </c>
      <c r="N42" s="757" t="s">
        <v>690</v>
      </c>
    </row>
    <row r="43" spans="1:14" s="708" customFormat="1" ht="24.75" customHeight="1">
      <c r="A43" s="712" t="s">
        <v>667</v>
      </c>
      <c r="B43" s="725">
        <f>F43*D43</f>
        <v>844354.32</v>
      </c>
      <c r="C43" s="736">
        <v>79.6</v>
      </c>
      <c r="D43" s="737">
        <v>20.2534</v>
      </c>
      <c r="E43" s="724" t="s">
        <v>668</v>
      </c>
      <c r="F43" s="725">
        <f>E6*12*C43/100</f>
        <v>41689.51</v>
      </c>
      <c r="G43" s="724" t="s">
        <v>379</v>
      </c>
      <c r="H43" s="725">
        <f>K43*I43</f>
        <v>716173.19</v>
      </c>
      <c r="I43" s="727">
        <f>+D43</f>
        <v>20.2534</v>
      </c>
      <c r="J43" s="724" t="str">
        <f>+E43</f>
        <v>MDL</v>
      </c>
      <c r="K43" s="725">
        <f>J6*12*C43/100</f>
        <v>35360.64</v>
      </c>
      <c r="L43" s="724" t="s">
        <v>379</v>
      </c>
      <c r="N43" s="757" t="s">
        <v>691</v>
      </c>
    </row>
    <row r="44" spans="1:14" s="708" customFormat="1" ht="24.75" customHeight="1">
      <c r="A44" s="712" t="s">
        <v>669</v>
      </c>
      <c r="B44" s="725">
        <f>F44*D44</f>
        <v>694709.94</v>
      </c>
      <c r="C44" s="738">
        <v>128.7</v>
      </c>
      <c r="D44" s="737">
        <v>10.3065</v>
      </c>
      <c r="E44" s="739" t="s">
        <v>670</v>
      </c>
      <c r="F44" s="725">
        <f>E6*12*C44/100</f>
        <v>67405.03</v>
      </c>
      <c r="G44" s="739" t="s">
        <v>379</v>
      </c>
      <c r="H44" s="725">
        <f>K44*I44</f>
        <v>589246.31</v>
      </c>
      <c r="I44" s="740">
        <f>+D44</f>
        <v>10.3065</v>
      </c>
      <c r="J44" s="724" t="str">
        <f>+E44</f>
        <v>NOK</v>
      </c>
      <c r="K44" s="725">
        <f>J6*12*C44/100</f>
        <v>57172.3</v>
      </c>
      <c r="L44" s="741" t="s">
        <v>379</v>
      </c>
      <c r="M44" s="707"/>
      <c r="N44" s="758" t="s">
        <v>692</v>
      </c>
    </row>
    <row r="45" spans="1:14" s="708" customFormat="1" ht="24.75" customHeight="1">
      <c r="A45" s="712" t="s">
        <v>671</v>
      </c>
      <c r="B45" s="725">
        <f>F45*D45</f>
        <v>4403184.49</v>
      </c>
      <c r="C45" s="736">
        <v>156.1</v>
      </c>
      <c r="D45" s="737">
        <v>53.858</v>
      </c>
      <c r="E45" s="724" t="s">
        <v>672</v>
      </c>
      <c r="F45" s="725">
        <f>E6*12*C45/100</f>
        <v>81755.44</v>
      </c>
      <c r="G45" s="724" t="s">
        <v>379</v>
      </c>
      <c r="H45" s="725">
        <f>K45*I45</f>
        <v>3734738.85</v>
      </c>
      <c r="I45" s="727">
        <f t="shared" si="3"/>
        <v>53.858</v>
      </c>
      <c r="J45" s="724" t="str">
        <f>+E45</f>
        <v>RUB</v>
      </c>
      <c r="K45" s="725">
        <f>J6*12*C45/100</f>
        <v>69344.18</v>
      </c>
      <c r="L45" s="724" t="s">
        <v>379</v>
      </c>
      <c r="N45" s="757" t="s">
        <v>693</v>
      </c>
    </row>
    <row r="46" spans="1:14" s="708" customFormat="1" ht="24.75" customHeight="1">
      <c r="A46" s="712" t="s">
        <v>673</v>
      </c>
      <c r="B46" s="725">
        <f t="shared" si="1"/>
        <v>70320.73</v>
      </c>
      <c r="C46" s="736">
        <v>134.2</v>
      </c>
      <c r="D46" s="737">
        <v>1.0005</v>
      </c>
      <c r="E46" s="724" t="s">
        <v>674</v>
      </c>
      <c r="F46" s="725">
        <f>E6*12*C46/100</f>
        <v>70285.59</v>
      </c>
      <c r="G46" s="724" t="s">
        <v>379</v>
      </c>
      <c r="H46" s="725">
        <f t="shared" si="2"/>
        <v>59645.37</v>
      </c>
      <c r="I46" s="727">
        <f t="shared" si="3"/>
        <v>1.0005</v>
      </c>
      <c r="J46" s="724" t="str">
        <f>+E46</f>
        <v>CHF</v>
      </c>
      <c r="K46" s="725">
        <f>J6*12*C46/100</f>
        <v>59615.56</v>
      </c>
      <c r="L46" s="712" t="s">
        <v>379</v>
      </c>
      <c r="N46" s="757" t="s">
        <v>694</v>
      </c>
    </row>
    <row r="47" spans="1:14" s="708" customFormat="1" ht="24.75" customHeight="1">
      <c r="A47" s="712" t="s">
        <v>675</v>
      </c>
      <c r="B47" s="725">
        <f t="shared" si="1"/>
        <v>62572.56</v>
      </c>
      <c r="C47" s="736">
        <v>113.6</v>
      </c>
      <c r="D47" s="737">
        <v>1.0517</v>
      </c>
      <c r="E47" s="724" t="s">
        <v>676</v>
      </c>
      <c r="F47" s="725">
        <f>E6*12*C47/100</f>
        <v>59496.59</v>
      </c>
      <c r="G47" s="724" t="s">
        <v>379</v>
      </c>
      <c r="H47" s="725">
        <f t="shared" si="2"/>
        <v>53073.45</v>
      </c>
      <c r="I47" s="727">
        <f t="shared" si="3"/>
        <v>1.0517</v>
      </c>
      <c r="J47" s="724" t="str">
        <f>+E47</f>
        <v>USD</v>
      </c>
      <c r="K47" s="725">
        <f>J6*12*C47/100</f>
        <v>50464.44</v>
      </c>
      <c r="L47" s="724" t="s">
        <v>379</v>
      </c>
      <c r="N47" s="757" t="s">
        <v>695</v>
      </c>
    </row>
    <row r="48" spans="1:14" s="708" customFormat="1" ht="24.75" customHeight="1">
      <c r="A48" s="712" t="s">
        <v>677</v>
      </c>
      <c r="B48" s="725">
        <f t="shared" si="1"/>
        <v>57560.15</v>
      </c>
      <c r="C48" s="736">
        <v>104.5</v>
      </c>
      <c r="D48" s="737">
        <v>1.0517</v>
      </c>
      <c r="E48" s="724" t="s">
        <v>676</v>
      </c>
      <c r="F48" s="725">
        <f>E6*12*C48/100</f>
        <v>54730.58</v>
      </c>
      <c r="G48" s="724" t="s">
        <v>379</v>
      </c>
      <c r="H48" s="725">
        <f t="shared" si="2"/>
        <v>48821.96</v>
      </c>
      <c r="I48" s="727">
        <f t="shared" si="3"/>
        <v>1.0517</v>
      </c>
      <c r="J48" s="724" t="str">
        <f>+E48</f>
        <v>USD</v>
      </c>
      <c r="K48" s="725">
        <f>J6*12*C48/100</f>
        <v>46421.95</v>
      </c>
      <c r="L48" s="724" t="s">
        <v>379</v>
      </c>
      <c r="N48" s="757" t="s">
        <v>696</v>
      </c>
    </row>
    <row r="49" spans="1:12" ht="15">
      <c r="A49" s="688"/>
      <c r="B49" s="742"/>
      <c r="C49" s="742"/>
      <c r="D49" s="742"/>
      <c r="E49" s="688"/>
      <c r="F49" s="688"/>
      <c r="G49" s="688"/>
      <c r="L49" s="688"/>
    </row>
    <row r="50" ht="15">
      <c r="A50" s="688" t="s">
        <v>678</v>
      </c>
    </row>
    <row r="51" ht="15">
      <c r="A51" s="689" t="s">
        <v>679</v>
      </c>
    </row>
    <row r="52" ht="15">
      <c r="A52" s="689" t="s">
        <v>680</v>
      </c>
    </row>
    <row r="53" ht="15">
      <c r="A53" s="689" t="s">
        <v>681</v>
      </c>
    </row>
    <row r="54" ht="15">
      <c r="A54" s="689" t="s">
        <v>682</v>
      </c>
    </row>
    <row r="55" ht="15">
      <c r="A55" s="689" t="s">
        <v>683</v>
      </c>
    </row>
    <row r="57" spans="1:6" ht="12.75" customHeight="1">
      <c r="A57" s="744" t="s">
        <v>684</v>
      </c>
      <c r="B57" s="745"/>
      <c r="C57" s="745"/>
      <c r="D57" s="745"/>
      <c r="E57" s="744"/>
      <c r="F57" s="744"/>
    </row>
  </sheetData>
  <sheetProtection password="CF11" sheet="1"/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53"/>
  <sheetViews>
    <sheetView zoomScale="80" zoomScaleNormal="80" zoomScalePageLayoutView="0" workbookViewId="0" topLeftCell="A34">
      <selection activeCell="N19" sqref="N19"/>
    </sheetView>
  </sheetViews>
  <sheetFormatPr defaultColWidth="9.140625" defaultRowHeight="12.75"/>
  <cols>
    <col min="1" max="1" width="32.8515625" style="0" customWidth="1"/>
    <col min="2" max="2" width="10.140625" style="0" bestFit="1" customWidth="1"/>
    <col min="3" max="3" width="2.140625" style="0" customWidth="1"/>
    <col min="4" max="4" width="11.57421875" style="0" customWidth="1"/>
    <col min="5" max="7" width="11.140625" style="0" bestFit="1" customWidth="1"/>
    <col min="8" max="8" width="15.8515625" style="869" bestFit="1" customWidth="1"/>
    <col min="9" max="9" width="13.00390625" style="0" customWidth="1"/>
    <col min="10" max="10" width="10.140625" style="0" bestFit="1" customWidth="1"/>
    <col min="11" max="11" width="10.8515625" style="0" customWidth="1"/>
    <col min="12" max="12" width="11.8515625" style="0" customWidth="1"/>
    <col min="13" max="13" width="10.57421875" style="0" customWidth="1"/>
    <col min="14" max="14" width="10.140625" style="0" customWidth="1"/>
    <col min="15" max="15" width="10.421875" style="0" customWidth="1"/>
  </cols>
  <sheetData>
    <row r="1" spans="1:7" ht="18">
      <c r="A1" s="413" t="s">
        <v>452</v>
      </c>
      <c r="D1" s="834" t="s">
        <v>718</v>
      </c>
      <c r="G1" s="760"/>
    </row>
    <row r="2" spans="1:4" ht="16.5">
      <c r="A2" s="414" t="s">
        <v>494</v>
      </c>
      <c r="B2" s="415">
        <v>44743</v>
      </c>
      <c r="D2" s="406" t="s">
        <v>698</v>
      </c>
    </row>
    <row r="3" spans="1:12" ht="25.5">
      <c r="A3" s="416" t="s">
        <v>719</v>
      </c>
      <c r="B3" s="417">
        <v>44927</v>
      </c>
      <c r="D3" s="761"/>
      <c r="E3" s="762" t="s">
        <v>699</v>
      </c>
      <c r="F3" s="762" t="s">
        <v>700</v>
      </c>
      <c r="G3" s="762" t="s">
        <v>701</v>
      </c>
      <c r="H3" s="870" t="s">
        <v>702</v>
      </c>
      <c r="I3" s="762" t="s">
        <v>703</v>
      </c>
      <c r="J3" s="763" t="s">
        <v>704</v>
      </c>
      <c r="L3" s="866"/>
    </row>
    <row r="4" spans="1:10" ht="12.75">
      <c r="A4" s="418" t="s">
        <v>453</v>
      </c>
      <c r="B4" s="419">
        <v>12</v>
      </c>
      <c r="D4" s="618"/>
      <c r="E4" s="764">
        <v>38108</v>
      </c>
      <c r="F4" s="764">
        <v>38231</v>
      </c>
      <c r="G4" s="764">
        <v>38596</v>
      </c>
      <c r="H4" s="869">
        <v>38961</v>
      </c>
      <c r="I4" s="764">
        <v>39326</v>
      </c>
      <c r="J4" s="764">
        <v>39692</v>
      </c>
    </row>
    <row r="5" spans="1:10" ht="12.75">
      <c r="A5" s="420" t="s">
        <v>720</v>
      </c>
      <c r="B5" s="797">
        <v>0.045</v>
      </c>
      <c r="D5" s="765">
        <v>0.36</v>
      </c>
      <c r="E5" s="766">
        <v>79.74</v>
      </c>
      <c r="F5" s="766">
        <v>63.79</v>
      </c>
      <c r="G5" s="766">
        <v>47.84</v>
      </c>
      <c r="H5" s="871">
        <v>31.9</v>
      </c>
      <c r="I5" s="766">
        <v>15.95</v>
      </c>
      <c r="J5" s="767">
        <v>0</v>
      </c>
    </row>
    <row r="6" spans="1:10" ht="12.75">
      <c r="A6" s="798" t="s">
        <v>454</v>
      </c>
      <c r="B6" s="799">
        <v>623.01</v>
      </c>
      <c r="D6" s="768">
        <v>0.5</v>
      </c>
      <c r="E6" s="769">
        <v>110.75</v>
      </c>
      <c r="F6" s="769">
        <v>88.6</v>
      </c>
      <c r="G6" s="769">
        <v>66.45</v>
      </c>
      <c r="H6" s="872">
        <v>44.3</v>
      </c>
      <c r="I6" s="769">
        <v>22.15</v>
      </c>
      <c r="J6" s="770">
        <v>0</v>
      </c>
    </row>
    <row r="7" spans="1:10" ht="12.75">
      <c r="A7" s="800" t="s">
        <v>33</v>
      </c>
      <c r="B7" s="799">
        <v>210.2</v>
      </c>
      <c r="D7" s="768">
        <v>1</v>
      </c>
      <c r="E7" s="769">
        <v>221.5</v>
      </c>
      <c r="F7" s="769">
        <v>177.2</v>
      </c>
      <c r="G7" s="769">
        <v>132.9</v>
      </c>
      <c r="H7" s="872">
        <v>88.6</v>
      </c>
      <c r="I7" s="769">
        <v>44.3</v>
      </c>
      <c r="J7" s="770">
        <v>0</v>
      </c>
    </row>
    <row r="8" spans="1:10" ht="12.75">
      <c r="A8" s="800" t="s">
        <v>51</v>
      </c>
      <c r="B8" s="799">
        <v>311.65</v>
      </c>
      <c r="D8" s="771"/>
      <c r="E8" s="772"/>
      <c r="F8" s="772"/>
      <c r="G8" s="772"/>
      <c r="H8" s="873"/>
      <c r="I8" s="772"/>
      <c r="J8" s="772"/>
    </row>
    <row r="9" spans="1:12" ht="12.75">
      <c r="A9" s="801" t="s">
        <v>455</v>
      </c>
      <c r="B9" s="799">
        <v>459.32</v>
      </c>
      <c r="D9" s="405" t="s">
        <v>292</v>
      </c>
      <c r="E9" s="412"/>
      <c r="F9" s="412"/>
      <c r="G9" s="412"/>
      <c r="H9" s="874"/>
      <c r="I9" s="412"/>
      <c r="J9" s="412"/>
      <c r="K9" s="412"/>
      <c r="L9" s="412"/>
    </row>
    <row r="10" spans="1:14" ht="12.75">
      <c r="A10" s="801" t="s">
        <v>456</v>
      </c>
      <c r="B10" s="799">
        <v>112.21</v>
      </c>
      <c r="D10" s="790">
        <v>37987</v>
      </c>
      <c r="E10" s="791">
        <v>38353</v>
      </c>
      <c r="F10" s="790">
        <v>38718</v>
      </c>
      <c r="G10" s="791">
        <v>39083</v>
      </c>
      <c r="H10" s="875">
        <v>39448</v>
      </c>
      <c r="I10" s="791">
        <v>39814</v>
      </c>
      <c r="J10" s="790">
        <v>40179</v>
      </c>
      <c r="K10" s="790">
        <v>40544</v>
      </c>
      <c r="L10" s="790">
        <v>40909</v>
      </c>
      <c r="M10" s="790">
        <v>41275</v>
      </c>
      <c r="N10" s="792">
        <v>41640</v>
      </c>
    </row>
    <row r="11" spans="1:14" ht="12.75">
      <c r="A11" s="802" t="s">
        <v>457</v>
      </c>
      <c r="B11" s="799">
        <v>249.19</v>
      </c>
      <c r="C11" s="371"/>
      <c r="D11" s="793">
        <v>0.025</v>
      </c>
      <c r="E11" s="793">
        <v>0.0293</v>
      </c>
      <c r="F11" s="793">
        <v>0.0336</v>
      </c>
      <c r="G11" s="793">
        <v>0.0379</v>
      </c>
      <c r="H11" s="876">
        <v>0.0421</v>
      </c>
      <c r="I11" s="793">
        <v>0.0464</v>
      </c>
      <c r="J11" s="793">
        <v>0.0507</v>
      </c>
      <c r="K11" s="793">
        <v>0.055</v>
      </c>
      <c r="L11" s="793">
        <v>0.055</v>
      </c>
      <c r="M11" s="793">
        <v>0</v>
      </c>
      <c r="N11" s="796">
        <v>0.06</v>
      </c>
    </row>
    <row r="12" spans="1:14" ht="12.75">
      <c r="A12" s="803" t="s">
        <v>458</v>
      </c>
      <c r="B12" s="799">
        <v>162.53</v>
      </c>
      <c r="N12" s="796">
        <v>0.07</v>
      </c>
    </row>
    <row r="13" spans="1:12" ht="12.75">
      <c r="A13" s="804" t="s">
        <v>460</v>
      </c>
      <c r="B13" s="805">
        <v>6.8007</v>
      </c>
      <c r="D13" s="405" t="s">
        <v>575</v>
      </c>
      <c r="E13" s="412"/>
      <c r="F13" s="412"/>
      <c r="G13" s="412"/>
      <c r="H13" s="874"/>
      <c r="I13" s="412"/>
      <c r="J13" s="412"/>
      <c r="K13" s="412"/>
      <c r="L13" s="412"/>
    </row>
    <row r="14" spans="1:14" ht="15">
      <c r="A14" s="800" t="s">
        <v>192</v>
      </c>
      <c r="B14" s="868">
        <v>762.92</v>
      </c>
      <c r="D14" s="790">
        <v>37987</v>
      </c>
      <c r="E14" s="791">
        <v>38353</v>
      </c>
      <c r="F14" s="790">
        <v>38718</v>
      </c>
      <c r="G14" s="791">
        <v>39083</v>
      </c>
      <c r="H14" s="875">
        <v>39448</v>
      </c>
      <c r="I14" s="791">
        <v>39814</v>
      </c>
      <c r="J14" s="794">
        <v>40360</v>
      </c>
      <c r="K14" s="795">
        <v>40725</v>
      </c>
      <c r="L14" s="794">
        <v>41091</v>
      </c>
      <c r="M14" s="794">
        <v>41456</v>
      </c>
      <c r="N14" s="794">
        <v>41821</v>
      </c>
    </row>
    <row r="15" spans="1:14" ht="12.75">
      <c r="A15" s="544" t="s">
        <v>320</v>
      </c>
      <c r="B15" s="796">
        <v>0.06</v>
      </c>
      <c r="D15" s="793"/>
      <c r="E15" s="793"/>
      <c r="F15" s="793"/>
      <c r="G15" s="793"/>
      <c r="H15" s="876"/>
      <c r="I15" s="793"/>
      <c r="J15" s="793">
        <v>0.116</v>
      </c>
      <c r="K15" s="793">
        <v>0.11</v>
      </c>
      <c r="L15" s="793">
        <v>0.1</v>
      </c>
      <c r="M15" s="793">
        <v>0.109</v>
      </c>
      <c r="N15" s="793">
        <v>0.101</v>
      </c>
    </row>
    <row r="16" spans="1:2" ht="12.75">
      <c r="A16" s="800" t="s">
        <v>463</v>
      </c>
      <c r="B16" s="806">
        <v>0.101</v>
      </c>
    </row>
    <row r="17" spans="1:14" ht="12.75">
      <c r="A17" s="807" t="s">
        <v>707</v>
      </c>
      <c r="B17" s="805">
        <v>0</v>
      </c>
      <c r="N17" s="623"/>
    </row>
    <row r="18" spans="1:17" ht="12.75">
      <c r="A18" s="808" t="s">
        <v>708</v>
      </c>
      <c r="B18" s="805">
        <v>0.4672</v>
      </c>
      <c r="G18" s="406" t="s">
        <v>459</v>
      </c>
      <c r="Q18" s="406" t="s">
        <v>717</v>
      </c>
    </row>
    <row r="19" spans="1:19" ht="14.25">
      <c r="A19" s="808" t="s">
        <v>709</v>
      </c>
      <c r="B19" s="805">
        <v>0.7787</v>
      </c>
      <c r="D19" s="835">
        <v>44743</v>
      </c>
      <c r="E19" s="836" t="s">
        <v>461</v>
      </c>
      <c r="F19" s="837"/>
      <c r="G19" s="838"/>
      <c r="H19" s="877"/>
      <c r="I19" s="838"/>
      <c r="J19" s="837"/>
      <c r="K19" s="837"/>
      <c r="L19" s="839"/>
      <c r="N19" s="827">
        <v>44743</v>
      </c>
      <c r="O19" s="828" t="s">
        <v>461</v>
      </c>
      <c r="P19" s="829"/>
      <c r="Q19" s="829"/>
      <c r="R19" s="829"/>
      <c r="S19" s="829"/>
    </row>
    <row r="20" spans="1:19" ht="12.75">
      <c r="A20" s="808" t="s">
        <v>710</v>
      </c>
      <c r="B20" s="805">
        <v>0.4672</v>
      </c>
      <c r="D20" s="643" t="s">
        <v>462</v>
      </c>
      <c r="E20" s="644">
        <v>1</v>
      </c>
      <c r="F20" s="644">
        <v>2</v>
      </c>
      <c r="G20" s="644">
        <v>3</v>
      </c>
      <c r="H20" s="878">
        <v>4</v>
      </c>
      <c r="I20" s="645">
        <v>5</v>
      </c>
      <c r="J20" s="644">
        <v>6</v>
      </c>
      <c r="K20" s="644">
        <v>7</v>
      </c>
      <c r="L20" s="840">
        <v>8</v>
      </c>
      <c r="N20" s="830" t="s">
        <v>462</v>
      </c>
      <c r="O20" s="831">
        <v>1</v>
      </c>
      <c r="P20" s="831">
        <v>2</v>
      </c>
      <c r="Q20" s="831">
        <v>3</v>
      </c>
      <c r="R20" s="831">
        <v>4</v>
      </c>
      <c r="S20" s="831">
        <v>5</v>
      </c>
    </row>
    <row r="21" spans="1:19" ht="12.75">
      <c r="A21" s="808" t="s">
        <v>711</v>
      </c>
      <c r="B21" s="805">
        <v>0.1556</v>
      </c>
      <c r="D21" s="646">
        <v>16</v>
      </c>
      <c r="E21" s="752">
        <v>20856.62</v>
      </c>
      <c r="F21" s="752">
        <v>21733.04</v>
      </c>
      <c r="G21" s="752">
        <v>22646.29</v>
      </c>
      <c r="H21" s="879">
        <v>0</v>
      </c>
      <c r="I21" s="752">
        <v>0</v>
      </c>
      <c r="J21" s="752">
        <v>0</v>
      </c>
      <c r="K21" s="752">
        <v>0</v>
      </c>
      <c r="L21" s="752">
        <v>0</v>
      </c>
      <c r="N21" s="832">
        <v>6</v>
      </c>
      <c r="O21" s="752">
        <v>5319.31</v>
      </c>
      <c r="P21" s="752">
        <v>5542.85</v>
      </c>
      <c r="Q21" s="752">
        <v>5775.76</v>
      </c>
      <c r="R21" s="752">
        <v>5936.43</v>
      </c>
      <c r="S21" s="752">
        <v>6018.46</v>
      </c>
    </row>
    <row r="22" spans="1:19" ht="12.75">
      <c r="A22" s="808" t="s">
        <v>712</v>
      </c>
      <c r="B22" s="805">
        <v>0.0751</v>
      </c>
      <c r="D22" s="646">
        <v>15</v>
      </c>
      <c r="E22" s="752">
        <v>18433.77</v>
      </c>
      <c r="F22" s="752">
        <v>19208.39</v>
      </c>
      <c r="G22" s="752">
        <v>20015.53</v>
      </c>
      <c r="H22" s="879">
        <v>20572.4</v>
      </c>
      <c r="I22" s="752">
        <v>20856.62</v>
      </c>
      <c r="J22" s="752">
        <v>21733.04</v>
      </c>
      <c r="K22" s="752">
        <v>0</v>
      </c>
      <c r="L22" s="752">
        <v>0</v>
      </c>
      <c r="N22" s="832">
        <v>5</v>
      </c>
      <c r="O22" s="752">
        <v>4701.38</v>
      </c>
      <c r="P22" s="752">
        <v>4898.94</v>
      </c>
      <c r="Q22" s="752">
        <v>5105.53</v>
      </c>
      <c r="R22" s="752">
        <v>5246.82</v>
      </c>
      <c r="S22" s="752">
        <v>5319.31</v>
      </c>
    </row>
    <row r="23" spans="1:19" ht="12.75">
      <c r="A23" s="808" t="s">
        <v>713</v>
      </c>
      <c r="B23" s="805">
        <v>0</v>
      </c>
      <c r="D23" s="646">
        <v>14</v>
      </c>
      <c r="E23" s="752">
        <v>16292.34</v>
      </c>
      <c r="F23" s="752">
        <v>16976.99</v>
      </c>
      <c r="G23" s="752">
        <v>17690.38</v>
      </c>
      <c r="H23" s="879">
        <v>18182.55</v>
      </c>
      <c r="I23" s="752">
        <v>18433.77</v>
      </c>
      <c r="J23" s="752">
        <v>19208.39</v>
      </c>
      <c r="K23" s="752">
        <v>20015.53</v>
      </c>
      <c r="L23" s="752">
        <v>20856.62</v>
      </c>
      <c r="N23" s="832">
        <v>4</v>
      </c>
      <c r="O23" s="752">
        <v>4155.24</v>
      </c>
      <c r="P23" s="752">
        <v>4329.84</v>
      </c>
      <c r="Q23" s="752">
        <v>4511.8</v>
      </c>
      <c r="R23" s="752">
        <v>4637.32</v>
      </c>
      <c r="S23" s="752">
        <v>4701.38</v>
      </c>
    </row>
    <row r="24" spans="1:19" ht="12.75">
      <c r="A24" s="621" t="s">
        <v>714</v>
      </c>
      <c r="B24" s="805">
        <v>0</v>
      </c>
      <c r="D24" s="646">
        <v>13</v>
      </c>
      <c r="E24" s="752">
        <v>14399.73</v>
      </c>
      <c r="F24" s="752">
        <v>15004.82</v>
      </c>
      <c r="G24" s="752">
        <v>15635.33</v>
      </c>
      <c r="H24" s="879">
        <v>16070.35</v>
      </c>
      <c r="I24" s="752">
        <v>16292.34</v>
      </c>
      <c r="J24" s="752">
        <v>0</v>
      </c>
      <c r="K24" s="752">
        <v>0</v>
      </c>
      <c r="L24" s="752">
        <v>0</v>
      </c>
      <c r="N24" s="832">
        <v>3</v>
      </c>
      <c r="O24" s="752">
        <v>3672.53</v>
      </c>
      <c r="P24" s="752">
        <v>3826.85</v>
      </c>
      <c r="Q24" s="752">
        <v>3987.69</v>
      </c>
      <c r="R24" s="752">
        <v>4098.6</v>
      </c>
      <c r="S24" s="752">
        <v>4155.24</v>
      </c>
    </row>
    <row r="25" spans="1:19" ht="12.75">
      <c r="A25" s="621" t="s">
        <v>715</v>
      </c>
      <c r="B25" s="799">
        <v>233.58</v>
      </c>
      <c r="D25" s="646">
        <v>12</v>
      </c>
      <c r="E25" s="752">
        <v>12726.95</v>
      </c>
      <c r="F25" s="752">
        <v>13261.75</v>
      </c>
      <c r="G25" s="752">
        <v>13819.04</v>
      </c>
      <c r="H25" s="879">
        <v>14203.49</v>
      </c>
      <c r="I25" s="752">
        <v>14399.73</v>
      </c>
      <c r="J25" s="752">
        <v>15004.82</v>
      </c>
      <c r="K25" s="752">
        <v>15635.33</v>
      </c>
      <c r="L25" s="752">
        <v>16292.34</v>
      </c>
      <c r="N25" s="832">
        <v>2</v>
      </c>
      <c r="O25" s="752">
        <v>3245.9</v>
      </c>
      <c r="P25" s="752">
        <v>3382.31</v>
      </c>
      <c r="Q25" s="752">
        <v>3524.45</v>
      </c>
      <c r="R25" s="752">
        <v>3622.49</v>
      </c>
      <c r="S25" s="752">
        <v>3672.53</v>
      </c>
    </row>
    <row r="26" spans="1:19" ht="12.75" customHeight="1">
      <c r="A26" s="622" t="s">
        <v>716</v>
      </c>
      <c r="B26" s="799">
        <v>467.12</v>
      </c>
      <c r="D26" s="646">
        <v>11</v>
      </c>
      <c r="E26" s="752">
        <v>11248.49</v>
      </c>
      <c r="F26" s="752">
        <v>11721.16</v>
      </c>
      <c r="G26" s="752">
        <v>12213.7</v>
      </c>
      <c r="H26" s="879">
        <v>12553.51</v>
      </c>
      <c r="I26" s="752">
        <v>12726.95</v>
      </c>
      <c r="J26" s="752">
        <v>13261.75</v>
      </c>
      <c r="K26" s="752">
        <v>13819.04</v>
      </c>
      <c r="L26" s="752">
        <v>14399.73</v>
      </c>
      <c r="N26" s="832">
        <v>1</v>
      </c>
      <c r="O26" s="752">
        <v>2868.84</v>
      </c>
      <c r="P26" s="752">
        <v>2989.4</v>
      </c>
      <c r="Q26" s="752">
        <v>3115.02</v>
      </c>
      <c r="R26" s="752">
        <v>3201.66</v>
      </c>
      <c r="S26" s="752">
        <v>3245.9</v>
      </c>
    </row>
    <row r="27" spans="1:12" ht="12.75">
      <c r="A27" s="809" t="s">
        <v>464</v>
      </c>
      <c r="B27" s="407">
        <v>1123.908</v>
      </c>
      <c r="D27" s="646">
        <v>10</v>
      </c>
      <c r="E27" s="752">
        <v>9941.81</v>
      </c>
      <c r="F27" s="752">
        <v>10359.56</v>
      </c>
      <c r="G27" s="752">
        <v>10794.9</v>
      </c>
      <c r="H27" s="879">
        <v>11095.21</v>
      </c>
      <c r="I27" s="752">
        <v>11248.49</v>
      </c>
      <c r="J27" s="752">
        <v>11721.16</v>
      </c>
      <c r="K27" s="752">
        <v>12213.7</v>
      </c>
      <c r="L27" s="752">
        <v>12726.95</v>
      </c>
    </row>
    <row r="28" spans="1:12" ht="12.75">
      <c r="A28" s="810" t="s">
        <v>465</v>
      </c>
      <c r="B28" s="408">
        <v>1498.5509</v>
      </c>
      <c r="D28" s="646">
        <v>9</v>
      </c>
      <c r="E28" s="752">
        <v>8786.88</v>
      </c>
      <c r="F28" s="752">
        <v>9156.12</v>
      </c>
      <c r="G28" s="752">
        <v>9540.89</v>
      </c>
      <c r="H28" s="879">
        <v>9806.31</v>
      </c>
      <c r="I28" s="752">
        <v>9941.81</v>
      </c>
      <c r="J28" s="752">
        <v>0</v>
      </c>
      <c r="K28" s="752">
        <v>0</v>
      </c>
      <c r="L28" s="752">
        <v>0</v>
      </c>
    </row>
    <row r="29" spans="1:12" ht="25.5">
      <c r="A29" s="811" t="s">
        <v>466</v>
      </c>
      <c r="B29" s="407">
        <v>1498.5509</v>
      </c>
      <c r="D29" s="647">
        <v>8</v>
      </c>
      <c r="E29" s="752">
        <v>7766.14</v>
      </c>
      <c r="F29" s="752">
        <v>8092.48</v>
      </c>
      <c r="G29" s="752">
        <v>8432.53</v>
      </c>
      <c r="H29" s="879">
        <v>8667.15</v>
      </c>
      <c r="I29" s="752">
        <v>8786.88</v>
      </c>
      <c r="J29" s="752">
        <v>9156.12</v>
      </c>
      <c r="K29" s="752">
        <v>9540.89</v>
      </c>
      <c r="L29" s="752">
        <v>9941.81</v>
      </c>
    </row>
    <row r="30" spans="1:12" ht="12.75" customHeight="1">
      <c r="A30" s="851" t="s">
        <v>467</v>
      </c>
      <c r="B30" s="813">
        <v>0.0081</v>
      </c>
      <c r="D30" s="647">
        <v>7</v>
      </c>
      <c r="E30" s="752">
        <v>6863.97</v>
      </c>
      <c r="F30" s="752">
        <v>7152.41</v>
      </c>
      <c r="G30" s="752">
        <v>7452.95</v>
      </c>
      <c r="H30" s="879">
        <v>7660.31</v>
      </c>
      <c r="I30" s="752">
        <v>7766.14</v>
      </c>
      <c r="J30" s="752">
        <v>8092.48</v>
      </c>
      <c r="K30" s="752">
        <v>8432.53</v>
      </c>
      <c r="L30" s="752">
        <v>8786.88</v>
      </c>
    </row>
    <row r="31" spans="1:12" ht="12.75">
      <c r="A31" s="811" t="s">
        <v>468</v>
      </c>
      <c r="B31" s="407">
        <v>1123.91</v>
      </c>
      <c r="D31" s="647">
        <v>6</v>
      </c>
      <c r="E31" s="752">
        <v>6066.59</v>
      </c>
      <c r="F31" s="752">
        <v>6321.53</v>
      </c>
      <c r="G31" s="752">
        <v>6587.16</v>
      </c>
      <c r="H31" s="879">
        <v>6770.43</v>
      </c>
      <c r="I31" s="752">
        <v>6863.97</v>
      </c>
      <c r="J31" s="752">
        <v>7152.41</v>
      </c>
      <c r="K31" s="752">
        <v>7452.95</v>
      </c>
      <c r="L31" s="752">
        <v>7766.14</v>
      </c>
    </row>
    <row r="32" spans="1:12" ht="12.75">
      <c r="A32" s="812" t="s">
        <v>469</v>
      </c>
      <c r="B32" s="813">
        <v>0.0081</v>
      </c>
      <c r="D32" s="647">
        <v>5</v>
      </c>
      <c r="E32" s="752">
        <v>5361.87</v>
      </c>
      <c r="F32" s="752">
        <v>5587.18</v>
      </c>
      <c r="G32" s="752">
        <v>5821.96</v>
      </c>
      <c r="H32" s="879">
        <v>5983.94</v>
      </c>
      <c r="I32" s="752">
        <v>6066.59</v>
      </c>
      <c r="J32" s="752">
        <v>6321.53</v>
      </c>
      <c r="K32" s="752">
        <v>6587.16</v>
      </c>
      <c r="L32" s="752">
        <v>6863.97</v>
      </c>
    </row>
    <row r="33" spans="1:12" ht="12.75">
      <c r="A33" s="430" t="s">
        <v>470</v>
      </c>
      <c r="B33" s="814">
        <v>0.017</v>
      </c>
      <c r="C33" s="412"/>
      <c r="D33" s="647">
        <v>4</v>
      </c>
      <c r="E33" s="752">
        <v>4739</v>
      </c>
      <c r="F33" s="752">
        <v>4938.12</v>
      </c>
      <c r="G33" s="752">
        <v>5145.63</v>
      </c>
      <c r="H33" s="879">
        <v>5288.8</v>
      </c>
      <c r="I33" s="752">
        <v>5361.87</v>
      </c>
      <c r="J33" s="752">
        <v>5587.18</v>
      </c>
      <c r="K33" s="752">
        <v>5821.96</v>
      </c>
      <c r="L33" s="752">
        <v>6066.59</v>
      </c>
    </row>
    <row r="34" spans="1:12" ht="12.75">
      <c r="A34" s="431" t="s">
        <v>473</v>
      </c>
      <c r="B34" s="815">
        <v>0.001</v>
      </c>
      <c r="C34" s="412"/>
      <c r="D34" s="647">
        <v>3</v>
      </c>
      <c r="E34" s="752">
        <v>4188.45</v>
      </c>
      <c r="F34" s="752">
        <v>4364.48</v>
      </c>
      <c r="G34" s="752">
        <v>4547.89</v>
      </c>
      <c r="H34" s="879">
        <v>4674.4</v>
      </c>
      <c r="I34" s="752">
        <v>4739</v>
      </c>
      <c r="J34" s="752">
        <v>4938.12</v>
      </c>
      <c r="K34" s="752">
        <v>5145.63</v>
      </c>
      <c r="L34" s="752">
        <v>5361.87</v>
      </c>
    </row>
    <row r="35" spans="1:15" ht="12.75">
      <c r="A35" s="430" t="s">
        <v>721</v>
      </c>
      <c r="B35" s="816">
        <v>0.005</v>
      </c>
      <c r="D35" s="647">
        <v>2</v>
      </c>
      <c r="E35" s="752">
        <v>3701.91</v>
      </c>
      <c r="F35" s="752">
        <v>3857.46</v>
      </c>
      <c r="G35" s="752">
        <v>4019.56</v>
      </c>
      <c r="H35" s="879">
        <v>4131.4</v>
      </c>
      <c r="I35" s="752">
        <v>4188.45</v>
      </c>
      <c r="J35" s="752">
        <v>4364.48</v>
      </c>
      <c r="K35" s="752">
        <v>4547.89</v>
      </c>
      <c r="L35" s="752">
        <v>4739</v>
      </c>
      <c r="O35" s="422"/>
    </row>
    <row r="36" spans="1:12" ht="12.75">
      <c r="A36" s="431" t="s">
        <v>722</v>
      </c>
      <c r="B36" s="817">
        <v>0.000227</v>
      </c>
      <c r="D36" s="648">
        <v>1</v>
      </c>
      <c r="E36" s="752">
        <v>3271.87</v>
      </c>
      <c r="F36" s="752">
        <v>3409.35</v>
      </c>
      <c r="G36" s="752">
        <v>3552.61</v>
      </c>
      <c r="H36" s="879">
        <v>3651.48</v>
      </c>
      <c r="I36" s="752">
        <v>3701.91</v>
      </c>
      <c r="J36" s="752">
        <v>0</v>
      </c>
      <c r="K36" s="752">
        <v>0</v>
      </c>
      <c r="L36" s="752">
        <v>0</v>
      </c>
    </row>
    <row r="37" spans="1:2" ht="12.75">
      <c r="A37" s="800" t="s">
        <v>490</v>
      </c>
      <c r="B37" s="818">
        <v>0.16</v>
      </c>
    </row>
    <row r="38" spans="1:5" ht="12.75">
      <c r="A38" s="800" t="s">
        <v>491</v>
      </c>
      <c r="B38" s="819">
        <v>0.02</v>
      </c>
      <c r="E38" s="406" t="s">
        <v>233</v>
      </c>
    </row>
    <row r="39" spans="1:14" ht="12.75" customHeight="1">
      <c r="A39" s="800" t="s">
        <v>470</v>
      </c>
      <c r="B39" s="820">
        <v>0.017</v>
      </c>
      <c r="D39" s="639"/>
      <c r="E39" s="423" t="s">
        <v>471</v>
      </c>
      <c r="F39" s="424" t="s">
        <v>72</v>
      </c>
      <c r="G39" s="423" t="s">
        <v>472</v>
      </c>
      <c r="H39" s="880" t="s">
        <v>549</v>
      </c>
      <c r="I39" s="407"/>
      <c r="N39" s="422"/>
    </row>
    <row r="40" spans="1:9" ht="12.75">
      <c r="A40" s="812" t="s">
        <v>473</v>
      </c>
      <c r="B40" s="821">
        <v>0.001</v>
      </c>
      <c r="D40" s="425" t="s">
        <v>474</v>
      </c>
      <c r="E40" s="640">
        <v>44743</v>
      </c>
      <c r="F40" s="640">
        <v>44927</v>
      </c>
      <c r="G40" s="747">
        <v>44743</v>
      </c>
      <c r="H40" s="881"/>
      <c r="I40" s="409"/>
    </row>
    <row r="41" spans="1:53" s="422" customFormat="1" ht="12.75">
      <c r="A41"/>
      <c r="B41"/>
      <c r="C41"/>
      <c r="D41" s="565" t="s">
        <v>543</v>
      </c>
      <c r="E41" s="841">
        <v>65</v>
      </c>
      <c r="F41" s="842">
        <v>60.9</v>
      </c>
      <c r="G41" s="843">
        <v>100</v>
      </c>
      <c r="H41" s="844">
        <v>1.9558</v>
      </c>
      <c r="I41" s="407" t="s">
        <v>542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13" ht="12.75">
      <c r="A42" t="s">
        <v>723</v>
      </c>
      <c r="B42">
        <v>447.87</v>
      </c>
      <c r="C42" s="422"/>
      <c r="D42" s="545" t="s">
        <v>410</v>
      </c>
      <c r="E42" s="822">
        <v>95.5</v>
      </c>
      <c r="F42" s="823">
        <v>82.8</v>
      </c>
      <c r="G42" s="824">
        <v>100</v>
      </c>
      <c r="H42" s="845">
        <v>24.739</v>
      </c>
      <c r="I42" s="680" t="s">
        <v>475</v>
      </c>
      <c r="J42" s="422"/>
      <c r="K42" s="422"/>
      <c r="L42" s="422"/>
      <c r="M42" s="422"/>
    </row>
    <row r="43" spans="4:9" ht="12.75">
      <c r="D43" s="545" t="s">
        <v>52</v>
      </c>
      <c r="E43" s="822">
        <v>134.7</v>
      </c>
      <c r="F43" s="823">
        <v>136.5</v>
      </c>
      <c r="G43" s="846">
        <v>136.5</v>
      </c>
      <c r="H43" s="845">
        <v>7.4392</v>
      </c>
      <c r="I43" s="680" t="s">
        <v>476</v>
      </c>
    </row>
    <row r="44" spans="1:9" ht="12.75" customHeight="1">
      <c r="A44" t="s">
        <v>724</v>
      </c>
      <c r="D44" s="545" t="s">
        <v>411</v>
      </c>
      <c r="E44" s="822">
        <v>100.6</v>
      </c>
      <c r="F44" s="823">
        <v>100.6</v>
      </c>
      <c r="G44" s="824">
        <v>100.6</v>
      </c>
      <c r="H44" s="847">
        <v>1</v>
      </c>
      <c r="I44" s="680" t="s">
        <v>477</v>
      </c>
    </row>
    <row r="45" spans="1:9" ht="12.75">
      <c r="A45" t="s">
        <v>725</v>
      </c>
      <c r="B45" s="850">
        <v>0</v>
      </c>
      <c r="D45" s="545"/>
      <c r="E45" s="822"/>
      <c r="F45" s="823"/>
      <c r="G45" s="848"/>
      <c r="H45" s="847">
        <v>1</v>
      </c>
      <c r="I45" s="681" t="s">
        <v>53</v>
      </c>
    </row>
    <row r="46" spans="1:9" ht="12.75">
      <c r="A46" t="s">
        <v>726</v>
      </c>
      <c r="B46">
        <v>0.2317</v>
      </c>
      <c r="D46" s="545" t="s">
        <v>54</v>
      </c>
      <c r="E46" s="822">
        <v>95.6</v>
      </c>
      <c r="F46" s="823">
        <v>100</v>
      </c>
      <c r="G46" s="848">
        <v>100</v>
      </c>
      <c r="H46" s="847">
        <v>1</v>
      </c>
      <c r="I46" s="681" t="s">
        <v>54</v>
      </c>
    </row>
    <row r="47" spans="1:20" ht="12.75">
      <c r="A47" t="s">
        <v>727</v>
      </c>
      <c r="B47">
        <v>0.3863</v>
      </c>
      <c r="D47" s="545" t="s">
        <v>412</v>
      </c>
      <c r="E47" s="822">
        <v>112.2</v>
      </c>
      <c r="F47" s="823">
        <v>100</v>
      </c>
      <c r="G47" s="848">
        <v>100</v>
      </c>
      <c r="H47" s="847">
        <v>1</v>
      </c>
      <c r="I47" s="681" t="s">
        <v>412</v>
      </c>
      <c r="P47" s="422"/>
      <c r="Q47" s="422"/>
      <c r="R47" s="422"/>
      <c r="S47" s="422"/>
      <c r="T47" s="422"/>
    </row>
    <row r="48" spans="1:9" ht="12.75">
      <c r="A48" t="s">
        <v>728</v>
      </c>
      <c r="B48">
        <v>0.2317</v>
      </c>
      <c r="D48" s="545" t="s">
        <v>413</v>
      </c>
      <c r="E48" s="822">
        <v>94.1</v>
      </c>
      <c r="F48" s="823">
        <v>98.1</v>
      </c>
      <c r="G48" s="824">
        <v>100</v>
      </c>
      <c r="H48" s="847">
        <v>1</v>
      </c>
      <c r="I48" s="680" t="s">
        <v>478</v>
      </c>
    </row>
    <row r="49" spans="1:53" ht="12.75">
      <c r="A49" t="s">
        <v>729</v>
      </c>
      <c r="B49">
        <v>0.0771</v>
      </c>
      <c r="D49" s="545" t="s">
        <v>415</v>
      </c>
      <c r="E49" s="822">
        <v>136.3</v>
      </c>
      <c r="F49" s="823">
        <v>129</v>
      </c>
      <c r="G49" s="824">
        <v>129</v>
      </c>
      <c r="H49" s="847">
        <v>1</v>
      </c>
      <c r="I49" s="680" t="s">
        <v>482</v>
      </c>
      <c r="AS49" s="422"/>
      <c r="AT49" s="422"/>
      <c r="AU49" s="422"/>
      <c r="AV49" s="422"/>
      <c r="AW49" s="422"/>
      <c r="AX49" s="422"/>
      <c r="AY49" s="422"/>
      <c r="AZ49" s="422"/>
      <c r="BA49" s="422"/>
    </row>
    <row r="50" spans="1:44" ht="12.75">
      <c r="A50" t="s">
        <v>730</v>
      </c>
      <c r="B50">
        <v>0.0372</v>
      </c>
      <c r="D50" s="545" t="s">
        <v>55</v>
      </c>
      <c r="E50" s="822">
        <v>89.4</v>
      </c>
      <c r="F50" s="823">
        <v>84.8</v>
      </c>
      <c r="G50" s="824">
        <v>100</v>
      </c>
      <c r="H50" s="847">
        <v>1</v>
      </c>
      <c r="I50" s="680" t="s">
        <v>479</v>
      </c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</row>
    <row r="51" spans="1:9" ht="12.75">
      <c r="A51" t="s">
        <v>731</v>
      </c>
      <c r="B51">
        <v>0</v>
      </c>
      <c r="D51" s="545" t="s">
        <v>414</v>
      </c>
      <c r="E51" s="822">
        <v>97.4</v>
      </c>
      <c r="F51" s="823">
        <v>93.4</v>
      </c>
      <c r="G51" s="824">
        <v>100</v>
      </c>
      <c r="H51" s="847">
        <v>1</v>
      </c>
      <c r="I51" s="680" t="s">
        <v>480</v>
      </c>
    </row>
    <row r="52" spans="1:9" ht="12.75">
      <c r="A52" t="s">
        <v>732</v>
      </c>
      <c r="B52">
        <v>115.8576</v>
      </c>
      <c r="D52" s="545" t="s">
        <v>105</v>
      </c>
      <c r="E52" s="822">
        <v>116.8</v>
      </c>
      <c r="F52" s="823">
        <v>107.7</v>
      </c>
      <c r="G52" s="824">
        <v>107.7</v>
      </c>
      <c r="H52" s="847">
        <v>1</v>
      </c>
      <c r="I52" s="680" t="s">
        <v>481</v>
      </c>
    </row>
    <row r="53" spans="1:9" ht="12.75">
      <c r="A53" t="s">
        <v>733</v>
      </c>
      <c r="B53">
        <v>231.7152</v>
      </c>
      <c r="D53" s="545" t="s">
        <v>576</v>
      </c>
      <c r="E53" s="822">
        <v>80</v>
      </c>
      <c r="F53" s="823">
        <v>69.9</v>
      </c>
      <c r="G53" s="824">
        <v>100</v>
      </c>
      <c r="H53" s="847">
        <v>7.5285</v>
      </c>
      <c r="I53" s="680" t="s">
        <v>751</v>
      </c>
    </row>
    <row r="54" spans="4:9" ht="12.75">
      <c r="D54" s="545" t="s">
        <v>416</v>
      </c>
      <c r="E54" s="822">
        <v>94.7</v>
      </c>
      <c r="F54" s="823">
        <v>94.1</v>
      </c>
      <c r="G54" s="824">
        <v>100</v>
      </c>
      <c r="H54" s="847">
        <v>1</v>
      </c>
      <c r="I54" s="681" t="s">
        <v>752</v>
      </c>
    </row>
    <row r="55" spans="1:9" ht="12.75" customHeight="1">
      <c r="A55" t="s">
        <v>734</v>
      </c>
      <c r="D55" s="545" t="s">
        <v>57</v>
      </c>
      <c r="E55" s="822">
        <v>92</v>
      </c>
      <c r="F55" s="823">
        <v>100</v>
      </c>
      <c r="G55" s="824">
        <v>100</v>
      </c>
      <c r="H55" s="847">
        <v>1</v>
      </c>
      <c r="I55" s="680" t="s">
        <v>57</v>
      </c>
    </row>
    <row r="56" spans="1:9" ht="12.75">
      <c r="A56" t="s">
        <v>735</v>
      </c>
      <c r="B56">
        <v>48.28</v>
      </c>
      <c r="D56" s="545" t="s">
        <v>417</v>
      </c>
      <c r="E56" s="822">
        <v>82.6</v>
      </c>
      <c r="F56" s="823">
        <v>82.9</v>
      </c>
      <c r="G56" s="824">
        <v>100</v>
      </c>
      <c r="H56" s="847">
        <v>1</v>
      </c>
      <c r="I56" s="680" t="s">
        <v>753</v>
      </c>
    </row>
    <row r="57" spans="1:9" ht="12.75">
      <c r="A57" t="s">
        <v>736</v>
      </c>
      <c r="B57">
        <v>38.94</v>
      </c>
      <c r="D57" s="545" t="s">
        <v>418</v>
      </c>
      <c r="E57" s="822">
        <v>85.9</v>
      </c>
      <c r="F57" s="823">
        <v>80.9</v>
      </c>
      <c r="G57" s="824">
        <v>100</v>
      </c>
      <c r="H57" s="847">
        <v>1</v>
      </c>
      <c r="I57" s="680" t="s">
        <v>754</v>
      </c>
    </row>
    <row r="58" spans="4:9" ht="12.75">
      <c r="D58" s="545" t="s">
        <v>419</v>
      </c>
      <c r="E58" s="822">
        <v>87.4</v>
      </c>
      <c r="F58" s="823">
        <v>76.6</v>
      </c>
      <c r="G58" s="824">
        <v>100</v>
      </c>
      <c r="H58" s="849">
        <v>1</v>
      </c>
      <c r="I58" s="680" t="s">
        <v>755</v>
      </c>
    </row>
    <row r="59" spans="1:9" ht="12.75">
      <c r="A59" t="s">
        <v>737</v>
      </c>
      <c r="D59" s="545" t="s">
        <v>420</v>
      </c>
      <c r="E59" s="822">
        <v>69.6</v>
      </c>
      <c r="F59" s="823">
        <v>58.8</v>
      </c>
      <c r="G59" s="824">
        <v>100</v>
      </c>
      <c r="H59" s="847">
        <v>394.28</v>
      </c>
      <c r="I59" s="680" t="s">
        <v>756</v>
      </c>
    </row>
    <row r="60" spans="1:9" ht="12.75">
      <c r="A60" t="s">
        <v>735</v>
      </c>
      <c r="B60">
        <v>1374.47</v>
      </c>
      <c r="D60" s="545" t="s">
        <v>421</v>
      </c>
      <c r="E60" s="822">
        <v>92.1</v>
      </c>
      <c r="F60" s="823">
        <v>94.7</v>
      </c>
      <c r="G60" s="824">
        <v>100</v>
      </c>
      <c r="H60" s="847">
        <v>1</v>
      </c>
      <c r="I60" s="680" t="s">
        <v>757</v>
      </c>
    </row>
    <row r="61" spans="1:9" ht="12.75">
      <c r="A61" t="s">
        <v>736</v>
      </c>
      <c r="B61">
        <v>817.25</v>
      </c>
      <c r="D61" s="545" t="s">
        <v>58</v>
      </c>
      <c r="E61" s="822">
        <v>109.8</v>
      </c>
      <c r="F61" s="823">
        <v>110.7</v>
      </c>
      <c r="G61" s="824">
        <v>110.7</v>
      </c>
      <c r="H61" s="847">
        <v>1</v>
      </c>
      <c r="I61" s="680" t="s">
        <v>758</v>
      </c>
    </row>
    <row r="62" spans="4:9" ht="12.75">
      <c r="D62" s="545" t="s">
        <v>422</v>
      </c>
      <c r="E62" s="822">
        <v>108.8</v>
      </c>
      <c r="F62" s="823">
        <v>110.6</v>
      </c>
      <c r="G62" s="824">
        <v>110.6</v>
      </c>
      <c r="H62" s="845">
        <v>1</v>
      </c>
      <c r="I62" s="680" t="s">
        <v>759</v>
      </c>
    </row>
    <row r="63" spans="1:9" ht="12.75">
      <c r="A63" t="s">
        <v>738</v>
      </c>
      <c r="D63" s="545" t="s">
        <v>423</v>
      </c>
      <c r="E63" s="822">
        <v>71.7</v>
      </c>
      <c r="F63" s="823">
        <v>62</v>
      </c>
      <c r="G63" s="824">
        <v>100</v>
      </c>
      <c r="H63" s="847">
        <v>4.6869</v>
      </c>
      <c r="I63" s="680" t="s">
        <v>760</v>
      </c>
    </row>
    <row r="64" spans="1:9" ht="12.75">
      <c r="A64" t="s">
        <v>739</v>
      </c>
      <c r="B64">
        <v>1648.4</v>
      </c>
      <c r="D64" s="545" t="s">
        <v>424</v>
      </c>
      <c r="E64" s="822">
        <v>95.5</v>
      </c>
      <c r="F64" s="823">
        <v>89.7</v>
      </c>
      <c r="G64" s="824">
        <v>100</v>
      </c>
      <c r="H64" s="845">
        <v>1</v>
      </c>
      <c r="I64" s="680" t="s">
        <v>483</v>
      </c>
    </row>
    <row r="65" spans="1:9" ht="12.75">
      <c r="A65" t="s">
        <v>740</v>
      </c>
      <c r="B65">
        <v>3296.81</v>
      </c>
      <c r="D65" s="545" t="s">
        <v>544</v>
      </c>
      <c r="E65" s="822">
        <v>70.1</v>
      </c>
      <c r="F65" s="823">
        <v>59.1</v>
      </c>
      <c r="G65" s="824">
        <v>100</v>
      </c>
      <c r="H65" s="847">
        <v>4.9419</v>
      </c>
      <c r="I65" s="680" t="s">
        <v>761</v>
      </c>
    </row>
    <row r="66" spans="4:9" ht="12.75">
      <c r="D66" s="545" t="s">
        <v>425</v>
      </c>
      <c r="E66" s="822">
        <v>87.1</v>
      </c>
      <c r="F66" s="823">
        <v>83.6</v>
      </c>
      <c r="G66" s="824">
        <v>100</v>
      </c>
      <c r="H66" s="847">
        <v>1</v>
      </c>
      <c r="I66" s="680" t="s">
        <v>762</v>
      </c>
    </row>
    <row r="67" spans="1:9" ht="12.75" customHeight="1">
      <c r="A67" t="s">
        <v>741</v>
      </c>
      <c r="D67" s="545" t="s">
        <v>426</v>
      </c>
      <c r="E67" s="822">
        <v>81.3</v>
      </c>
      <c r="F67" s="824">
        <v>80.9</v>
      </c>
      <c r="G67" s="824">
        <v>100</v>
      </c>
      <c r="H67" s="847">
        <v>1</v>
      </c>
      <c r="I67" s="680" t="s">
        <v>763</v>
      </c>
    </row>
    <row r="68" spans="1:9" ht="12.75">
      <c r="A68" t="s">
        <v>735</v>
      </c>
      <c r="B68">
        <v>1033.84</v>
      </c>
      <c r="D68" s="545" t="s">
        <v>427</v>
      </c>
      <c r="E68" s="822">
        <v>117.3</v>
      </c>
      <c r="F68" s="824">
        <v>118.9</v>
      </c>
      <c r="G68" s="824">
        <v>118.9</v>
      </c>
      <c r="H68" s="845">
        <v>1</v>
      </c>
      <c r="I68" s="680" t="s">
        <v>764</v>
      </c>
    </row>
    <row r="69" spans="1:9" ht="12.75">
      <c r="A69" t="s">
        <v>736</v>
      </c>
      <c r="B69">
        <v>612.96</v>
      </c>
      <c r="D69" s="545" t="s">
        <v>428</v>
      </c>
      <c r="E69" s="822">
        <v>124.9</v>
      </c>
      <c r="F69" s="823">
        <v>114.3</v>
      </c>
      <c r="G69" s="824">
        <v>114.3</v>
      </c>
      <c r="H69" s="845">
        <v>10.6848</v>
      </c>
      <c r="I69" s="680" t="s">
        <v>765</v>
      </c>
    </row>
    <row r="70" spans="4:9" ht="12.75">
      <c r="D70" s="545"/>
      <c r="E70" s="822"/>
      <c r="F70" s="823"/>
      <c r="G70" s="824">
        <v>125.4</v>
      </c>
      <c r="H70" s="895">
        <v>0.86461</v>
      </c>
      <c r="I70" s="624" t="s">
        <v>766</v>
      </c>
    </row>
    <row r="71" spans="1:9" ht="12.75">
      <c r="A71" t="s">
        <v>742</v>
      </c>
      <c r="D71" s="825"/>
      <c r="E71" s="822"/>
      <c r="F71" s="823"/>
      <c r="G71" s="824"/>
      <c r="H71" s="845"/>
      <c r="I71" s="826"/>
    </row>
    <row r="72" spans="1:2" ht="12.75">
      <c r="A72" t="s">
        <v>739</v>
      </c>
      <c r="B72">
        <v>1236.3</v>
      </c>
    </row>
    <row r="73" spans="1:5" ht="12.75">
      <c r="A73" t="s">
        <v>740</v>
      </c>
      <c r="B73">
        <v>2472.57</v>
      </c>
      <c r="E73" s="372" t="s">
        <v>484</v>
      </c>
    </row>
    <row r="74" spans="4:12" ht="15">
      <c r="D74" s="362" t="s">
        <v>485</v>
      </c>
      <c r="E74" s="426">
        <v>44743</v>
      </c>
      <c r="F74" s="642" t="s">
        <v>461</v>
      </c>
      <c r="G74" s="421"/>
      <c r="H74" s="882"/>
      <c r="I74" s="421"/>
      <c r="J74" s="421"/>
      <c r="K74" s="5"/>
      <c r="L74" s="221"/>
    </row>
    <row r="75" spans="1:12" ht="13.5">
      <c r="A75" t="s">
        <v>743</v>
      </c>
      <c r="D75" s="363" t="s">
        <v>486</v>
      </c>
      <c r="E75" s="649" t="s">
        <v>462</v>
      </c>
      <c r="F75" s="650">
        <v>1</v>
      </c>
      <c r="G75" s="650">
        <v>2</v>
      </c>
      <c r="H75" s="883">
        <v>3</v>
      </c>
      <c r="I75" s="650">
        <v>4</v>
      </c>
      <c r="J75" s="651">
        <v>5</v>
      </c>
      <c r="K75" s="652">
        <v>6</v>
      </c>
      <c r="L75" s="653">
        <v>7</v>
      </c>
    </row>
    <row r="76" spans="1:12" ht="12.75">
      <c r="A76" t="s">
        <v>739</v>
      </c>
      <c r="B76">
        <v>1087.66</v>
      </c>
      <c r="D76" s="427" t="s">
        <v>487</v>
      </c>
      <c r="E76" s="751">
        <v>18</v>
      </c>
      <c r="F76" s="752">
        <v>7189.8</v>
      </c>
      <c r="G76" s="752">
        <v>7339.32</v>
      </c>
      <c r="H76" s="879">
        <v>7491.93</v>
      </c>
      <c r="I76" s="752">
        <v>7647.74</v>
      </c>
      <c r="J76" s="752">
        <v>7806.79</v>
      </c>
      <c r="K76" s="752">
        <v>7969.13</v>
      </c>
      <c r="L76" s="752">
        <v>8134.84</v>
      </c>
    </row>
    <row r="77" spans="1:12" ht="12.75">
      <c r="A77" t="s">
        <v>740</v>
      </c>
      <c r="B77">
        <v>2559.24</v>
      </c>
      <c r="D77" s="428"/>
      <c r="E77" s="753">
        <v>17</v>
      </c>
      <c r="F77" s="752">
        <v>6354.54</v>
      </c>
      <c r="G77" s="752">
        <v>6486.67</v>
      </c>
      <c r="H77" s="879">
        <v>6621.57</v>
      </c>
      <c r="I77" s="752">
        <v>6759.28</v>
      </c>
      <c r="J77" s="752">
        <v>6899.84</v>
      </c>
      <c r="K77" s="752">
        <v>7043.32</v>
      </c>
      <c r="L77" s="752">
        <v>7189.8</v>
      </c>
    </row>
    <row r="78" spans="4:12" ht="12.75">
      <c r="D78" s="428"/>
      <c r="E78" s="753">
        <v>16</v>
      </c>
      <c r="F78" s="752">
        <v>5616.29</v>
      </c>
      <c r="G78" s="752">
        <v>5733.08</v>
      </c>
      <c r="H78" s="879">
        <v>5852.31</v>
      </c>
      <c r="I78" s="752">
        <v>5974.01</v>
      </c>
      <c r="J78" s="752">
        <v>6098.26</v>
      </c>
      <c r="K78" s="752">
        <v>6225.09</v>
      </c>
      <c r="L78" s="752">
        <v>6354.54</v>
      </c>
    </row>
    <row r="79" spans="1:12" ht="12.75">
      <c r="A79" t="s">
        <v>744</v>
      </c>
      <c r="D79" s="428"/>
      <c r="E79" s="753">
        <v>15</v>
      </c>
      <c r="F79" s="752">
        <v>4963.81</v>
      </c>
      <c r="G79" s="752">
        <v>5067.04</v>
      </c>
      <c r="H79" s="879">
        <v>5172.43</v>
      </c>
      <c r="I79" s="752">
        <v>5279.99</v>
      </c>
      <c r="J79" s="752">
        <v>5389.8</v>
      </c>
      <c r="K79" s="752">
        <v>5501.87</v>
      </c>
      <c r="L79" s="752">
        <v>5616.29</v>
      </c>
    </row>
    <row r="80" spans="1:12" ht="12.75">
      <c r="A80" t="s">
        <v>745</v>
      </c>
      <c r="B80">
        <v>471.12</v>
      </c>
      <c r="D80" s="428"/>
      <c r="E80" s="753">
        <v>14</v>
      </c>
      <c r="F80" s="752">
        <v>4387.16</v>
      </c>
      <c r="G80" s="752">
        <v>4478.39</v>
      </c>
      <c r="H80" s="879">
        <v>4571.53</v>
      </c>
      <c r="I80" s="752">
        <v>4666.59</v>
      </c>
      <c r="J80" s="752">
        <v>4763.67</v>
      </c>
      <c r="K80" s="752">
        <v>4862.69</v>
      </c>
      <c r="L80" s="752">
        <v>4963.81</v>
      </c>
    </row>
    <row r="81" spans="1:12" ht="12.75">
      <c r="A81" t="s">
        <v>746</v>
      </c>
      <c r="B81">
        <v>711.08</v>
      </c>
      <c r="D81" s="429"/>
      <c r="E81" s="754">
        <v>13</v>
      </c>
      <c r="F81" s="752">
        <v>3877.47</v>
      </c>
      <c r="G81" s="752">
        <v>3958.12</v>
      </c>
      <c r="H81" s="879">
        <v>4040.42</v>
      </c>
      <c r="I81" s="752">
        <v>4124.46</v>
      </c>
      <c r="J81" s="752">
        <v>4210.22</v>
      </c>
      <c r="K81" s="752">
        <v>4297.78</v>
      </c>
      <c r="L81" s="752">
        <v>4387.16</v>
      </c>
    </row>
    <row r="82" spans="1:12" ht="12.75">
      <c r="A82" t="s">
        <v>747</v>
      </c>
      <c r="B82">
        <v>777.48</v>
      </c>
      <c r="D82" s="427" t="s">
        <v>488</v>
      </c>
      <c r="E82" s="751">
        <v>12</v>
      </c>
      <c r="F82" s="752">
        <v>4963.75</v>
      </c>
      <c r="G82" s="752">
        <v>5066.96</v>
      </c>
      <c r="H82" s="879">
        <v>5172.35</v>
      </c>
      <c r="I82" s="752">
        <v>5279.89</v>
      </c>
      <c r="J82" s="752">
        <v>5389.68</v>
      </c>
      <c r="K82" s="752">
        <v>5501.76</v>
      </c>
      <c r="L82" s="752">
        <v>5616.17</v>
      </c>
    </row>
    <row r="83" spans="1:12" ht="12.75">
      <c r="A83" s="393" t="s">
        <v>748</v>
      </c>
      <c r="B83">
        <v>1059.95</v>
      </c>
      <c r="D83" s="428"/>
      <c r="E83" s="753">
        <v>11</v>
      </c>
      <c r="F83" s="752">
        <v>4387.13</v>
      </c>
      <c r="G83" s="752">
        <v>4478.34</v>
      </c>
      <c r="H83" s="879">
        <v>4571.47</v>
      </c>
      <c r="I83" s="752">
        <v>4666.52</v>
      </c>
      <c r="J83" s="752">
        <v>4763.57</v>
      </c>
      <c r="K83" s="752">
        <v>4862.63</v>
      </c>
      <c r="L83" s="752">
        <v>4963.75</v>
      </c>
    </row>
    <row r="84" spans="1:12" ht="12.75">
      <c r="A84" s="393"/>
      <c r="D84" s="428"/>
      <c r="E84" s="753">
        <v>10</v>
      </c>
      <c r="F84" s="752">
        <v>3877.46</v>
      </c>
      <c r="G84" s="752">
        <v>3958.09</v>
      </c>
      <c r="H84" s="879">
        <v>4040.4</v>
      </c>
      <c r="I84" s="752">
        <v>4124.43</v>
      </c>
      <c r="J84" s="752">
        <v>4210.19</v>
      </c>
      <c r="K84" s="752">
        <v>4297.75</v>
      </c>
      <c r="L84" s="752">
        <v>4387.13</v>
      </c>
    </row>
    <row r="85" spans="1:12" ht="12.75">
      <c r="A85" s="393"/>
      <c r="D85" s="428"/>
      <c r="E85" s="753">
        <v>9</v>
      </c>
      <c r="F85" s="752">
        <v>3427.03</v>
      </c>
      <c r="G85" s="752">
        <v>3498.29</v>
      </c>
      <c r="H85" s="879">
        <v>3571.04</v>
      </c>
      <c r="I85" s="752">
        <v>3645.32</v>
      </c>
      <c r="J85" s="752">
        <v>3721.12</v>
      </c>
      <c r="K85" s="752">
        <v>3798.48</v>
      </c>
      <c r="L85" s="752">
        <v>3877.46</v>
      </c>
    </row>
    <row r="86" spans="1:12" ht="12.75">
      <c r="A86" s="393"/>
      <c r="D86" s="429"/>
      <c r="E86" s="754">
        <v>8</v>
      </c>
      <c r="F86" s="752">
        <v>3028.92</v>
      </c>
      <c r="G86" s="752">
        <v>3091.91</v>
      </c>
      <c r="H86" s="879">
        <v>3156.21</v>
      </c>
      <c r="I86" s="752">
        <v>3221.83</v>
      </c>
      <c r="J86" s="752">
        <v>3288.84</v>
      </c>
      <c r="K86" s="752">
        <v>3357.23</v>
      </c>
      <c r="L86" s="752">
        <v>3427.03</v>
      </c>
    </row>
    <row r="87" spans="1:12" ht="12.75">
      <c r="A87" s="393"/>
      <c r="D87" s="427" t="s">
        <v>489</v>
      </c>
      <c r="E87" s="751">
        <v>7</v>
      </c>
      <c r="F87" s="752">
        <v>3426.95</v>
      </c>
      <c r="G87" s="752">
        <v>3498.24</v>
      </c>
      <c r="H87" s="879">
        <v>3570.98</v>
      </c>
      <c r="I87" s="752">
        <v>3645.25</v>
      </c>
      <c r="J87" s="752">
        <v>3721.1</v>
      </c>
      <c r="K87" s="752">
        <v>3798.48</v>
      </c>
      <c r="L87" s="752">
        <v>3877.47</v>
      </c>
    </row>
    <row r="88" spans="1:12" ht="12.75">
      <c r="A88" s="393"/>
      <c r="D88" s="428"/>
      <c r="E88" s="753">
        <v>6</v>
      </c>
      <c r="F88" s="752">
        <v>3028.79</v>
      </c>
      <c r="G88" s="752">
        <v>3091.76</v>
      </c>
      <c r="H88" s="879">
        <v>3156.08</v>
      </c>
      <c r="I88" s="752">
        <v>3221.72</v>
      </c>
      <c r="J88" s="752">
        <v>3288.72</v>
      </c>
      <c r="K88" s="752">
        <v>3357.13</v>
      </c>
      <c r="L88" s="752">
        <v>3426.95</v>
      </c>
    </row>
    <row r="89" spans="1:12" ht="12.75">
      <c r="A89" s="393"/>
      <c r="D89" s="428"/>
      <c r="E89" s="753">
        <v>5</v>
      </c>
      <c r="F89" s="752">
        <v>2676.85</v>
      </c>
      <c r="G89" s="752">
        <v>2732.52</v>
      </c>
      <c r="H89" s="879">
        <v>2789.36</v>
      </c>
      <c r="I89" s="752">
        <v>2847.38</v>
      </c>
      <c r="J89" s="752">
        <v>2906.59</v>
      </c>
      <c r="K89" s="752">
        <v>2967.06</v>
      </c>
      <c r="L89" s="752">
        <v>3028.79</v>
      </c>
    </row>
    <row r="90" spans="1:12" ht="12.75">
      <c r="A90" s="393"/>
      <c r="D90" s="429"/>
      <c r="E90" s="754">
        <v>4</v>
      </c>
      <c r="F90" s="752">
        <v>2365.82</v>
      </c>
      <c r="G90" s="752">
        <v>2415.03</v>
      </c>
      <c r="H90" s="879">
        <v>2465.27</v>
      </c>
      <c r="I90" s="752">
        <v>2516.55</v>
      </c>
      <c r="J90" s="752">
        <v>2568.88</v>
      </c>
      <c r="K90" s="752">
        <v>2622.31</v>
      </c>
      <c r="L90" s="752">
        <v>2676.85</v>
      </c>
    </row>
    <row r="91" spans="1:12" ht="12.75">
      <c r="A91" s="393"/>
      <c r="D91" s="427" t="s">
        <v>56</v>
      </c>
      <c r="E91" s="751">
        <v>3</v>
      </c>
      <c r="F91" s="752">
        <v>2914.51</v>
      </c>
      <c r="G91" s="752">
        <v>2974.99</v>
      </c>
      <c r="H91" s="879">
        <v>3036.75</v>
      </c>
      <c r="I91" s="752">
        <v>3099.76</v>
      </c>
      <c r="J91" s="752">
        <v>3164.08</v>
      </c>
      <c r="K91" s="752">
        <v>3229.76</v>
      </c>
      <c r="L91" s="752">
        <v>3296.81</v>
      </c>
    </row>
    <row r="92" spans="1:12" ht="12.75">
      <c r="A92" s="393"/>
      <c r="D92" s="428"/>
      <c r="E92" s="753">
        <v>2</v>
      </c>
      <c r="F92" s="752">
        <v>2576.55</v>
      </c>
      <c r="G92" s="752">
        <v>2630.02</v>
      </c>
      <c r="H92" s="879">
        <v>2684.61</v>
      </c>
      <c r="I92" s="752">
        <v>2740.32</v>
      </c>
      <c r="J92" s="752">
        <v>2797.2</v>
      </c>
      <c r="K92" s="752">
        <v>2855.26</v>
      </c>
      <c r="L92" s="752">
        <v>2914.51</v>
      </c>
    </row>
    <row r="93" spans="1:12" ht="12.75">
      <c r="A93" s="393"/>
      <c r="D93" s="429"/>
      <c r="E93" s="754">
        <v>1</v>
      </c>
      <c r="F93" s="752">
        <v>2277.79</v>
      </c>
      <c r="G93" s="752">
        <v>2325.07</v>
      </c>
      <c r="H93" s="879">
        <v>2373.31</v>
      </c>
      <c r="I93" s="752">
        <v>2422.56</v>
      </c>
      <c r="J93" s="752">
        <v>2472.85</v>
      </c>
      <c r="K93" s="752">
        <v>2524.17</v>
      </c>
      <c r="L93" s="752">
        <v>2576.55</v>
      </c>
    </row>
    <row r="94" ht="12.75">
      <c r="A94" s="393"/>
    </row>
    <row r="95" spans="1:5" ht="12.75">
      <c r="A95" s="393"/>
      <c r="E95" s="405" t="s">
        <v>492</v>
      </c>
    </row>
    <row r="96" spans="1:13" ht="12.75">
      <c r="A96" s="393"/>
      <c r="D96" s="773">
        <v>44743</v>
      </c>
      <c r="E96" s="774"/>
      <c r="F96" s="775" t="s">
        <v>461</v>
      </c>
      <c r="G96" s="776"/>
      <c r="H96" s="884"/>
      <c r="I96" s="776"/>
      <c r="J96" s="776"/>
      <c r="K96" s="776"/>
      <c r="L96" s="776"/>
      <c r="M96" s="777"/>
    </row>
    <row r="97" spans="1:13" ht="12.75">
      <c r="A97" s="393"/>
      <c r="D97" s="778" t="s">
        <v>462</v>
      </c>
      <c r="E97" s="779"/>
      <c r="F97" s="780">
        <v>1</v>
      </c>
      <c r="G97" s="780">
        <v>2</v>
      </c>
      <c r="H97" s="885">
        <v>3</v>
      </c>
      <c r="I97" s="780">
        <v>4</v>
      </c>
      <c r="J97" s="780">
        <v>5</v>
      </c>
      <c r="K97" s="780">
        <v>6</v>
      </c>
      <c r="L97" s="780">
        <v>7</v>
      </c>
      <c r="M97" s="781">
        <v>8</v>
      </c>
    </row>
    <row r="98" spans="1:13" ht="13.5" thickBot="1">
      <c r="A98" s="393"/>
      <c r="D98" s="782">
        <v>16</v>
      </c>
      <c r="E98" s="783" t="s">
        <v>0</v>
      </c>
      <c r="F98" s="784">
        <v>17893.67</v>
      </c>
      <c r="G98" s="785">
        <v>18844.19</v>
      </c>
      <c r="H98" s="886">
        <v>19794.71</v>
      </c>
      <c r="I98" s="785">
        <v>20745.25</v>
      </c>
      <c r="J98" s="785">
        <v>21695.76</v>
      </c>
      <c r="K98" s="785">
        <v>22646.29</v>
      </c>
      <c r="L98" s="786">
        <v>0</v>
      </c>
      <c r="M98" s="786">
        <v>0</v>
      </c>
    </row>
    <row r="99" spans="1:13" ht="13.5" thickBot="1">
      <c r="A99" s="393"/>
      <c r="D99" s="782">
        <v>15</v>
      </c>
      <c r="E99" s="783" t="s">
        <v>1</v>
      </c>
      <c r="F99" s="784">
        <v>15879.18</v>
      </c>
      <c r="G99" s="785">
        <v>16786.2</v>
      </c>
      <c r="H99" s="886">
        <v>17693.23</v>
      </c>
      <c r="I99" s="785">
        <v>18600.29</v>
      </c>
      <c r="J99" s="785">
        <v>19507.3</v>
      </c>
      <c r="K99" s="785">
        <v>20414.34</v>
      </c>
      <c r="L99" s="786">
        <v>0</v>
      </c>
      <c r="M99" s="786">
        <v>0</v>
      </c>
    </row>
    <row r="100" spans="1:13" ht="13.5" thickBot="1">
      <c r="A100" s="393"/>
      <c r="D100" s="782">
        <v>14</v>
      </c>
      <c r="E100" s="783" t="s">
        <v>2</v>
      </c>
      <c r="F100" s="784">
        <v>13150.81</v>
      </c>
      <c r="G100" s="785">
        <v>13944.2</v>
      </c>
      <c r="H100" s="886">
        <v>14737.59</v>
      </c>
      <c r="I100" s="785">
        <v>15530.97</v>
      </c>
      <c r="J100" s="785">
        <v>16324.39</v>
      </c>
      <c r="K100" s="785">
        <v>17117.76</v>
      </c>
      <c r="L100" s="785">
        <v>17911.11</v>
      </c>
      <c r="M100" s="785">
        <v>18704.53</v>
      </c>
    </row>
    <row r="101" spans="1:13" ht="13.5" thickBot="1">
      <c r="A101" s="393"/>
      <c r="D101" s="782">
        <v>12</v>
      </c>
      <c r="E101" s="783" t="s">
        <v>3</v>
      </c>
      <c r="F101" s="784">
        <v>11048.1</v>
      </c>
      <c r="G101" s="785">
        <v>11667.35</v>
      </c>
      <c r="H101" s="886">
        <v>12286.63</v>
      </c>
      <c r="I101" s="785">
        <v>12905.88</v>
      </c>
      <c r="J101" s="785">
        <v>13525.13</v>
      </c>
      <c r="K101" s="785">
        <v>14144.39</v>
      </c>
      <c r="L101" s="785">
        <v>14763.66</v>
      </c>
      <c r="M101" s="785">
        <v>15382.9</v>
      </c>
    </row>
    <row r="102" spans="1:13" ht="13.5" thickBot="1">
      <c r="A102" s="393"/>
      <c r="D102" s="782">
        <v>11</v>
      </c>
      <c r="E102" s="783" t="s">
        <v>4</v>
      </c>
      <c r="F102" s="784">
        <v>9108.59</v>
      </c>
      <c r="G102" s="785">
        <v>9648.21</v>
      </c>
      <c r="H102" s="886">
        <v>10187.82</v>
      </c>
      <c r="I102" s="785">
        <v>10727.45</v>
      </c>
      <c r="J102" s="785">
        <v>11267.08</v>
      </c>
      <c r="K102" s="785">
        <v>11806.69</v>
      </c>
      <c r="L102" s="785">
        <v>12346.32</v>
      </c>
      <c r="M102" s="785">
        <v>12885.96</v>
      </c>
    </row>
    <row r="103" spans="1:13" ht="13.5" thickBot="1">
      <c r="A103" s="393"/>
      <c r="D103" s="782">
        <v>10</v>
      </c>
      <c r="E103" s="783" t="s">
        <v>5</v>
      </c>
      <c r="F103" s="784">
        <v>7871.53</v>
      </c>
      <c r="G103" s="785">
        <v>8301.02</v>
      </c>
      <c r="H103" s="886">
        <v>8730.52</v>
      </c>
      <c r="I103" s="785">
        <v>9159.98</v>
      </c>
      <c r="J103" s="785">
        <v>9589.48</v>
      </c>
      <c r="K103" s="785">
        <v>10018.97</v>
      </c>
      <c r="L103" s="785">
        <v>10448.45</v>
      </c>
      <c r="M103" s="785">
        <v>10877.95</v>
      </c>
    </row>
    <row r="104" spans="1:13" ht="13.5" thickBot="1">
      <c r="A104" s="393"/>
      <c r="D104" s="782">
        <v>8</v>
      </c>
      <c r="E104" s="783" t="s">
        <v>6</v>
      </c>
      <c r="F104" s="784">
        <v>6775.82</v>
      </c>
      <c r="G104" s="785">
        <v>7112.98</v>
      </c>
      <c r="H104" s="886">
        <v>7450.12</v>
      </c>
      <c r="I104" s="785">
        <v>7787.27</v>
      </c>
      <c r="J104" s="785">
        <v>8124.46</v>
      </c>
      <c r="K104" s="785">
        <v>8461.61</v>
      </c>
      <c r="L104" s="786">
        <v>0</v>
      </c>
      <c r="M104" s="786">
        <v>0</v>
      </c>
    </row>
    <row r="105" spans="1:13" ht="13.5" thickBot="1">
      <c r="A105" s="393"/>
      <c r="D105" s="782">
        <v>7</v>
      </c>
      <c r="E105" s="783" t="s">
        <v>7</v>
      </c>
      <c r="F105" s="784">
        <v>5992.58</v>
      </c>
      <c r="G105" s="785">
        <v>6234.25</v>
      </c>
      <c r="H105" s="886">
        <v>0</v>
      </c>
      <c r="I105" s="786">
        <v>0</v>
      </c>
      <c r="J105" s="786">
        <v>0</v>
      </c>
      <c r="K105" s="786">
        <v>0</v>
      </c>
      <c r="L105" s="786">
        <v>0</v>
      </c>
      <c r="M105" s="786">
        <v>0</v>
      </c>
    </row>
    <row r="106" spans="1:13" ht="13.5" thickBot="1">
      <c r="A106" s="393"/>
      <c r="D106" s="782">
        <v>10</v>
      </c>
      <c r="E106" s="783" t="s">
        <v>8</v>
      </c>
      <c r="F106" s="784">
        <v>7871.53</v>
      </c>
      <c r="G106" s="785">
        <v>8301.02</v>
      </c>
      <c r="H106" s="886">
        <v>8730.52</v>
      </c>
      <c r="I106" s="785">
        <v>9159.98</v>
      </c>
      <c r="J106" s="785">
        <v>9589.48</v>
      </c>
      <c r="K106" s="785">
        <v>10018.97</v>
      </c>
      <c r="L106" s="785">
        <v>10448.45</v>
      </c>
      <c r="M106" s="785">
        <v>10877.95</v>
      </c>
    </row>
    <row r="107" spans="1:13" ht="13.5" thickBot="1">
      <c r="A107" s="393"/>
      <c r="D107" s="782">
        <v>8</v>
      </c>
      <c r="E107" s="783" t="s">
        <v>9</v>
      </c>
      <c r="F107" s="784">
        <v>6820.09</v>
      </c>
      <c r="G107" s="785">
        <v>7139.82</v>
      </c>
      <c r="H107" s="886">
        <v>7459.54</v>
      </c>
      <c r="I107" s="785">
        <v>7779.29</v>
      </c>
      <c r="J107" s="785">
        <v>8099.04</v>
      </c>
      <c r="K107" s="785">
        <v>8418.77</v>
      </c>
      <c r="L107" s="785">
        <v>8738.53</v>
      </c>
      <c r="M107" s="785">
        <v>9058.25</v>
      </c>
    </row>
    <row r="108" spans="1:13" ht="13.5" thickBot="1">
      <c r="A108" s="393"/>
      <c r="D108" s="782">
        <v>7</v>
      </c>
      <c r="E108" s="783" t="s">
        <v>10</v>
      </c>
      <c r="F108" s="784">
        <v>5720.62</v>
      </c>
      <c r="G108" s="785">
        <v>5986.48</v>
      </c>
      <c r="H108" s="886">
        <v>6252.37</v>
      </c>
      <c r="I108" s="785">
        <v>6518.21</v>
      </c>
      <c r="J108" s="785">
        <v>6784.08</v>
      </c>
      <c r="K108" s="785">
        <v>7049.95</v>
      </c>
      <c r="L108" s="785">
        <v>7315.83</v>
      </c>
      <c r="M108" s="785">
        <v>7581.67</v>
      </c>
    </row>
    <row r="109" spans="1:13" ht="13.5" thickBot="1">
      <c r="A109" s="393"/>
      <c r="D109" s="782">
        <v>6</v>
      </c>
      <c r="E109" s="783" t="s">
        <v>11</v>
      </c>
      <c r="F109" s="784">
        <v>4947.82</v>
      </c>
      <c r="G109" s="785">
        <v>5178.4</v>
      </c>
      <c r="H109" s="886">
        <v>5408.98</v>
      </c>
      <c r="I109" s="785">
        <v>5639.56</v>
      </c>
      <c r="J109" s="785">
        <v>5870.12</v>
      </c>
      <c r="K109" s="785">
        <v>6100.69</v>
      </c>
      <c r="L109" s="785">
        <v>6331.27</v>
      </c>
      <c r="M109" s="785">
        <v>6561.86</v>
      </c>
    </row>
    <row r="110" spans="1:13" ht="13.5" thickBot="1">
      <c r="A110" s="393"/>
      <c r="D110" s="782">
        <v>5</v>
      </c>
      <c r="E110" s="783" t="s">
        <v>12</v>
      </c>
      <c r="F110" s="784">
        <v>4422.72</v>
      </c>
      <c r="G110" s="785">
        <v>4609.31</v>
      </c>
      <c r="H110" s="886">
        <v>4795.89</v>
      </c>
      <c r="I110" s="785">
        <v>4982.48</v>
      </c>
      <c r="J110" s="785">
        <v>5169.08</v>
      </c>
      <c r="K110" s="785">
        <v>5355.68</v>
      </c>
      <c r="L110" s="785">
        <v>5542.25</v>
      </c>
      <c r="M110" s="785">
        <v>5728.85</v>
      </c>
    </row>
    <row r="111" spans="1:13" ht="13.5" thickBot="1">
      <c r="A111" s="393"/>
      <c r="D111" s="782">
        <v>6</v>
      </c>
      <c r="E111" s="783" t="s">
        <v>13</v>
      </c>
      <c r="F111" s="784">
        <v>5046.61</v>
      </c>
      <c r="G111" s="785">
        <v>5250.1</v>
      </c>
      <c r="H111" s="886">
        <v>5453.6</v>
      </c>
      <c r="I111" s="785">
        <v>5657.1</v>
      </c>
      <c r="J111" s="785">
        <v>5860.6</v>
      </c>
      <c r="K111" s="785">
        <v>6064.1</v>
      </c>
      <c r="L111" s="785">
        <v>6267.61</v>
      </c>
      <c r="M111" s="785">
        <v>6471.12</v>
      </c>
    </row>
    <row r="112" spans="4:13" ht="13.5" thickBot="1">
      <c r="D112" s="782">
        <v>5</v>
      </c>
      <c r="E112" s="783" t="s">
        <v>14</v>
      </c>
      <c r="F112" s="784">
        <v>4389.47</v>
      </c>
      <c r="G112" s="785">
        <v>4575.96</v>
      </c>
      <c r="H112" s="886">
        <v>4762.44</v>
      </c>
      <c r="I112" s="785">
        <v>4948.93</v>
      </c>
      <c r="J112" s="785">
        <v>5135.44</v>
      </c>
      <c r="K112" s="785">
        <v>5321.92</v>
      </c>
      <c r="L112" s="785">
        <v>5508.4</v>
      </c>
      <c r="M112" s="785">
        <v>5694.91</v>
      </c>
    </row>
    <row r="113" spans="4:13" ht="13.5" thickBot="1">
      <c r="D113" s="782">
        <v>4</v>
      </c>
      <c r="E113" s="783" t="s">
        <v>15</v>
      </c>
      <c r="F113" s="784">
        <v>4094.54</v>
      </c>
      <c r="G113" s="785">
        <v>4254.32</v>
      </c>
      <c r="H113" s="886">
        <v>4414.08</v>
      </c>
      <c r="I113" s="785">
        <v>4573.86</v>
      </c>
      <c r="J113" s="785">
        <v>4733.66</v>
      </c>
      <c r="K113" s="785">
        <v>4893.42</v>
      </c>
      <c r="L113" s="785">
        <v>5053.18</v>
      </c>
      <c r="M113" s="785">
        <v>5212.94</v>
      </c>
    </row>
    <row r="114" spans="4:13" ht="13.5" thickBot="1">
      <c r="D114" s="782">
        <v>3</v>
      </c>
      <c r="E114" s="783" t="s">
        <v>16</v>
      </c>
      <c r="F114" s="784">
        <v>3699.75</v>
      </c>
      <c r="G114" s="785">
        <v>3849.6</v>
      </c>
      <c r="H114" s="886">
        <v>3999.49</v>
      </c>
      <c r="I114" s="785">
        <v>4149.32</v>
      </c>
      <c r="J114" s="785">
        <v>4299.19</v>
      </c>
      <c r="K114" s="785">
        <v>4449.06</v>
      </c>
      <c r="L114" s="785">
        <v>4598.93</v>
      </c>
      <c r="M114" s="785">
        <v>4748.82</v>
      </c>
    </row>
    <row r="115" spans="4:13" ht="13.5" thickBot="1">
      <c r="D115" s="782">
        <v>2</v>
      </c>
      <c r="E115" s="783" t="s">
        <v>17</v>
      </c>
      <c r="F115" s="784">
        <v>3411.38</v>
      </c>
      <c r="G115" s="785">
        <v>3551.16</v>
      </c>
      <c r="H115" s="886">
        <v>3690.96</v>
      </c>
      <c r="I115" s="785">
        <v>3830.76</v>
      </c>
      <c r="J115" s="785">
        <v>4188.45</v>
      </c>
      <c r="K115" s="786">
        <v>0</v>
      </c>
      <c r="L115" s="786">
        <v>0</v>
      </c>
      <c r="M115" s="786">
        <v>0</v>
      </c>
    </row>
    <row r="116" spans="4:13" ht="13.5" thickBot="1">
      <c r="D116" s="782">
        <v>4</v>
      </c>
      <c r="E116" s="783" t="s">
        <v>18</v>
      </c>
      <c r="F116" s="784">
        <v>3855.38</v>
      </c>
      <c r="G116" s="785">
        <v>4023.96</v>
      </c>
      <c r="H116" s="886">
        <v>4192.5</v>
      </c>
      <c r="I116" s="785">
        <v>4361.08</v>
      </c>
      <c r="J116" s="785">
        <v>4529.66</v>
      </c>
      <c r="K116" s="785">
        <v>4698.22</v>
      </c>
      <c r="L116" s="785">
        <v>4866.77</v>
      </c>
      <c r="M116" s="785">
        <v>5035.34</v>
      </c>
    </row>
    <row r="117" spans="4:13" ht="13.5" thickBot="1">
      <c r="D117" s="782">
        <v>3</v>
      </c>
      <c r="E117" s="783" t="s">
        <v>19</v>
      </c>
      <c r="F117" s="784">
        <v>3515.35</v>
      </c>
      <c r="G117" s="785">
        <v>3665.08</v>
      </c>
      <c r="H117" s="886">
        <v>3814.81</v>
      </c>
      <c r="I117" s="785">
        <v>3964.52</v>
      </c>
      <c r="J117" s="785">
        <v>4114.26</v>
      </c>
      <c r="K117" s="785">
        <v>4263.98</v>
      </c>
      <c r="L117" s="785">
        <v>4413.7</v>
      </c>
      <c r="M117" s="785">
        <v>4563.45</v>
      </c>
    </row>
    <row r="118" spans="4:13" ht="13.5" thickBot="1">
      <c r="D118" s="782">
        <v>2</v>
      </c>
      <c r="E118" s="783" t="s">
        <v>20</v>
      </c>
      <c r="F118" s="784">
        <v>3271.87</v>
      </c>
      <c r="G118" s="785">
        <v>3411.89</v>
      </c>
      <c r="H118" s="886">
        <v>3551.92</v>
      </c>
      <c r="I118" s="785">
        <v>3691.96</v>
      </c>
      <c r="J118" s="785">
        <v>3831.98</v>
      </c>
      <c r="K118" s="785">
        <v>3972.01</v>
      </c>
      <c r="L118" s="785">
        <v>4112.05</v>
      </c>
      <c r="M118" s="785">
        <v>4252.08</v>
      </c>
    </row>
    <row r="119" spans="4:13" ht="13.5" thickBot="1">
      <c r="D119" s="787">
        <v>1</v>
      </c>
      <c r="E119" s="788" t="s">
        <v>686</v>
      </c>
      <c r="F119" s="784">
        <v>3084.92</v>
      </c>
      <c r="G119" s="785">
        <v>3211.45</v>
      </c>
      <c r="H119" s="886">
        <v>3337.94</v>
      </c>
      <c r="I119" s="785">
        <v>3464.47</v>
      </c>
      <c r="J119" s="786">
        <v>0</v>
      </c>
      <c r="K119" s="786">
        <v>0</v>
      </c>
      <c r="L119" s="786">
        <v>0</v>
      </c>
      <c r="M119" s="786">
        <v>0</v>
      </c>
    </row>
    <row r="120" spans="4:13" ht="12.75">
      <c r="D120" s="491"/>
      <c r="E120" s="393" t="s">
        <v>502</v>
      </c>
      <c r="F120" s="392"/>
      <c r="G120" s="392"/>
      <c r="H120" s="887"/>
      <c r="I120" s="392"/>
      <c r="J120" s="392"/>
      <c r="K120" s="392"/>
      <c r="L120" s="392"/>
      <c r="M120" s="392"/>
    </row>
    <row r="121" spans="4:13" ht="12.75">
      <c r="D121" s="492"/>
      <c r="E121" s="833">
        <v>38108</v>
      </c>
      <c r="F121" s="541" t="s">
        <v>461</v>
      </c>
      <c r="G121" s="542"/>
      <c r="H121" s="888"/>
      <c r="I121" s="542"/>
      <c r="J121" s="542"/>
      <c r="K121" s="542"/>
      <c r="L121" s="542"/>
      <c r="M121" s="543"/>
    </row>
    <row r="122" spans="4:13" ht="12.75">
      <c r="D122" s="493" t="s">
        <v>462</v>
      </c>
      <c r="E122" s="494"/>
      <c r="F122" s="495">
        <v>1</v>
      </c>
      <c r="G122" s="495">
        <v>2</v>
      </c>
      <c r="H122" s="889">
        <v>3</v>
      </c>
      <c r="I122" s="495">
        <v>4</v>
      </c>
      <c r="J122" s="495">
        <v>5</v>
      </c>
      <c r="K122" s="495">
        <v>6</v>
      </c>
      <c r="L122" s="495">
        <v>7</v>
      </c>
      <c r="M122" s="496">
        <v>8</v>
      </c>
    </row>
    <row r="123" spans="4:13" ht="12.75">
      <c r="D123" s="497">
        <v>16</v>
      </c>
      <c r="E123" s="498" t="s">
        <v>0</v>
      </c>
      <c r="F123" s="499">
        <v>0.8579377</v>
      </c>
      <c r="G123" s="499">
        <v>0.867076</v>
      </c>
      <c r="H123" s="890">
        <v>0.8741</v>
      </c>
      <c r="I123" s="499">
        <v>0.9160548</v>
      </c>
      <c r="J123" s="499">
        <v>0.9580274</v>
      </c>
      <c r="K123" s="499">
        <v>1</v>
      </c>
      <c r="L123" s="499"/>
      <c r="M123" s="500"/>
    </row>
    <row r="124" spans="4:13" ht="12.75">
      <c r="D124" s="497">
        <v>15</v>
      </c>
      <c r="E124" s="498" t="s">
        <v>1</v>
      </c>
      <c r="F124" s="499">
        <v>0.8614182</v>
      </c>
      <c r="G124" s="499">
        <v>0.8739006</v>
      </c>
      <c r="H124" s="890">
        <v>0.884</v>
      </c>
      <c r="I124" s="499">
        <v>0.904137</v>
      </c>
      <c r="J124" s="499">
        <v>0.9353053</v>
      </c>
      <c r="K124" s="499">
        <v>0.9393224</v>
      </c>
      <c r="L124" s="499"/>
      <c r="M124" s="500"/>
    </row>
    <row r="125" spans="4:13" ht="12.75">
      <c r="D125" s="497">
        <v>14</v>
      </c>
      <c r="E125" s="498" t="s">
        <v>2</v>
      </c>
      <c r="F125" s="499">
        <v>0.8071775</v>
      </c>
      <c r="G125" s="499">
        <v>0.8213599</v>
      </c>
      <c r="H125" s="890">
        <v>0.8331</v>
      </c>
      <c r="I125" s="499">
        <v>0.8541688</v>
      </c>
      <c r="J125" s="499">
        <v>0.8855692</v>
      </c>
      <c r="K125" s="499">
        <v>0.891161</v>
      </c>
      <c r="L125" s="499">
        <v>0.8948613</v>
      </c>
      <c r="M125" s="500">
        <v>0.8968148</v>
      </c>
    </row>
    <row r="126" spans="4:13" ht="12.75">
      <c r="D126" s="497">
        <v>12</v>
      </c>
      <c r="E126" s="498" t="s">
        <v>3</v>
      </c>
      <c r="F126" s="499">
        <v>0.8680864</v>
      </c>
      <c r="G126" s="499">
        <v>0.8797751</v>
      </c>
      <c r="H126" s="890">
        <v>0.8891</v>
      </c>
      <c r="I126" s="499">
        <v>0.9086411</v>
      </c>
      <c r="J126" s="499">
        <v>0.9392638</v>
      </c>
      <c r="K126" s="499">
        <v>0.9426565</v>
      </c>
      <c r="L126" s="499">
        <v>0.944249</v>
      </c>
      <c r="M126" s="500">
        <v>0.9441793</v>
      </c>
    </row>
    <row r="127" spans="4:13" ht="12.75">
      <c r="D127" s="497">
        <v>11</v>
      </c>
      <c r="E127" s="498" t="s">
        <v>4</v>
      </c>
      <c r="F127" s="499">
        <v>0.8097606</v>
      </c>
      <c r="G127" s="499">
        <v>0.823144</v>
      </c>
      <c r="H127" s="890">
        <v>0.8341</v>
      </c>
      <c r="I127" s="499">
        <v>0.8545377</v>
      </c>
      <c r="J127" s="499">
        <v>0.8852925</v>
      </c>
      <c r="K127" s="499">
        <v>0.8902821</v>
      </c>
      <c r="L127" s="499">
        <v>0.8934288</v>
      </c>
      <c r="M127" s="500">
        <v>0.8948742</v>
      </c>
    </row>
    <row r="128" spans="4:13" ht="12.75">
      <c r="D128" s="497">
        <v>10</v>
      </c>
      <c r="E128" s="498" t="s">
        <v>5</v>
      </c>
      <c r="F128" s="499">
        <v>0.7917607</v>
      </c>
      <c r="G128" s="499">
        <v>0.8012909</v>
      </c>
      <c r="H128" s="890">
        <v>0.8088</v>
      </c>
      <c r="I128" s="499">
        <v>0.8255804</v>
      </c>
      <c r="J128" s="499">
        <v>0.8525121</v>
      </c>
      <c r="K128" s="499">
        <v>0.8547756</v>
      </c>
      <c r="L128" s="499">
        <v>0.8554698</v>
      </c>
      <c r="M128" s="500">
        <v>0.8547179</v>
      </c>
    </row>
    <row r="129" spans="4:13" ht="12.75">
      <c r="D129" s="497">
        <v>8</v>
      </c>
      <c r="E129" s="498" t="s">
        <v>6</v>
      </c>
      <c r="F129" s="499">
        <v>0.8724812</v>
      </c>
      <c r="G129" s="499">
        <v>0.8789606</v>
      </c>
      <c r="H129" s="890">
        <v>0.8835</v>
      </c>
      <c r="I129" s="499">
        <v>0.8984832</v>
      </c>
      <c r="J129" s="499">
        <v>0.9246101</v>
      </c>
      <c r="K129" s="499">
        <v>0.9241466</v>
      </c>
      <c r="L129" s="499"/>
      <c r="M129" s="500"/>
    </row>
    <row r="130" spans="4:13" ht="12.75">
      <c r="D130" s="497">
        <v>7</v>
      </c>
      <c r="E130" s="498" t="s">
        <v>7</v>
      </c>
      <c r="F130" s="499">
        <v>0.8730505</v>
      </c>
      <c r="G130" s="499">
        <v>0.8716311</v>
      </c>
      <c r="H130" s="890"/>
      <c r="I130" s="499"/>
      <c r="J130" s="499"/>
      <c r="K130" s="499"/>
      <c r="L130" s="499"/>
      <c r="M130" s="500"/>
    </row>
    <row r="131" spans="4:13" ht="12.75">
      <c r="D131" s="497">
        <v>10</v>
      </c>
      <c r="E131" s="498" t="s">
        <v>8</v>
      </c>
      <c r="F131" s="499">
        <v>0.7917607</v>
      </c>
      <c r="G131" s="499">
        <v>0.8012909</v>
      </c>
      <c r="H131" s="890">
        <v>0.8088</v>
      </c>
      <c r="I131" s="499">
        <v>0.8255804</v>
      </c>
      <c r="J131" s="499">
        <v>0.8525121</v>
      </c>
      <c r="K131" s="499">
        <v>0.8547756</v>
      </c>
      <c r="L131" s="499">
        <v>0.8554698</v>
      </c>
      <c r="M131" s="500">
        <v>0.8547179</v>
      </c>
    </row>
    <row r="132" spans="4:13" ht="12.75">
      <c r="D132" s="497">
        <v>8</v>
      </c>
      <c r="E132" s="498" t="s">
        <v>9</v>
      </c>
      <c r="F132" s="499">
        <v>0.878181</v>
      </c>
      <c r="G132" s="499">
        <v>0.8822781</v>
      </c>
      <c r="H132" s="890">
        <v>0.8846</v>
      </c>
      <c r="I132" s="499">
        <v>0.8975611</v>
      </c>
      <c r="J132" s="499">
        <v>0.9217181</v>
      </c>
      <c r="K132" s="499">
        <v>0.9194688</v>
      </c>
      <c r="L132" s="499">
        <v>0.9159029</v>
      </c>
      <c r="M132" s="500">
        <v>0.911128</v>
      </c>
    </row>
    <row r="133" spans="4:13" ht="12.75">
      <c r="D133" s="497">
        <v>7</v>
      </c>
      <c r="E133" s="498" t="s">
        <v>10</v>
      </c>
      <c r="F133" s="499">
        <v>0.8334297</v>
      </c>
      <c r="G133" s="499">
        <v>0.8369898</v>
      </c>
      <c r="H133" s="890">
        <v>0.8389</v>
      </c>
      <c r="I133" s="499">
        <v>0.8509077</v>
      </c>
      <c r="J133" s="499">
        <v>0.8735465</v>
      </c>
      <c r="K133" s="499">
        <v>0.8711729</v>
      </c>
      <c r="L133" s="499">
        <v>0.8675695</v>
      </c>
      <c r="M133" s="500">
        <v>0.8628394</v>
      </c>
    </row>
    <row r="134" spans="4:13" ht="12.75">
      <c r="D134" s="497">
        <v>6</v>
      </c>
      <c r="E134" s="498" t="s">
        <v>11</v>
      </c>
      <c r="F134" s="499">
        <v>0.815586</v>
      </c>
      <c r="G134" s="499">
        <v>0.8191701</v>
      </c>
      <c r="H134" s="890">
        <v>0.8211</v>
      </c>
      <c r="I134" s="499">
        <v>0.8329679</v>
      </c>
      <c r="J134" s="499">
        <v>0.8552101</v>
      </c>
      <c r="K134" s="499">
        <v>0.852958</v>
      </c>
      <c r="L134" s="499">
        <v>0.8494989</v>
      </c>
      <c r="M134" s="500">
        <v>0.8449312</v>
      </c>
    </row>
    <row r="135" spans="4:13" ht="12.75">
      <c r="D135" s="497">
        <v>5</v>
      </c>
      <c r="E135" s="498" t="s">
        <v>12</v>
      </c>
      <c r="F135" s="499">
        <v>0.824848</v>
      </c>
      <c r="G135" s="499">
        <v>0.8249807</v>
      </c>
      <c r="H135" s="890">
        <v>0.8238</v>
      </c>
      <c r="I135" s="499">
        <v>0.8326444</v>
      </c>
      <c r="J135" s="499"/>
      <c r="K135" s="499"/>
      <c r="L135" s="499"/>
      <c r="M135" s="500"/>
    </row>
    <row r="136" spans="4:13" ht="12.75">
      <c r="D136" s="497">
        <v>6</v>
      </c>
      <c r="E136" s="498" t="s">
        <v>13</v>
      </c>
      <c r="F136" s="499">
        <v>0.8318656</v>
      </c>
      <c r="G136" s="499">
        <v>0.8305106</v>
      </c>
      <c r="H136" s="890">
        <v>0.8279</v>
      </c>
      <c r="I136" s="499">
        <v>0.8355595</v>
      </c>
      <c r="J136" s="499">
        <v>0.8538223</v>
      </c>
      <c r="K136" s="499">
        <v>0.8478411</v>
      </c>
      <c r="L136" s="499">
        <v>0.8409561</v>
      </c>
      <c r="M136" s="500">
        <v>0.833247</v>
      </c>
    </row>
    <row r="137" spans="4:13" ht="12.75">
      <c r="D137" s="497">
        <v>5</v>
      </c>
      <c r="E137" s="498" t="s">
        <v>14</v>
      </c>
      <c r="F137" s="499">
        <v>0.818647</v>
      </c>
      <c r="G137" s="499">
        <v>0.8190122</v>
      </c>
      <c r="H137" s="890">
        <v>0.818</v>
      </c>
      <c r="I137" s="499">
        <v>0.8270387</v>
      </c>
      <c r="J137" s="499">
        <v>0.84651</v>
      </c>
      <c r="K137" s="499">
        <v>0.8418734</v>
      </c>
      <c r="L137" s="499">
        <v>0.8362348</v>
      </c>
      <c r="M137" s="500">
        <v>0.8296824</v>
      </c>
    </row>
    <row r="138" spans="4:13" ht="12.75">
      <c r="D138" s="497">
        <v>4</v>
      </c>
      <c r="E138" s="498" t="s">
        <v>15</v>
      </c>
      <c r="F138" s="499">
        <v>0.8640121</v>
      </c>
      <c r="G138" s="499">
        <v>0.861526</v>
      </c>
      <c r="H138" s="890">
        <v>0.8578</v>
      </c>
      <c r="I138" s="499">
        <v>0.8648224</v>
      </c>
      <c r="J138" s="499">
        <v>0.8828349</v>
      </c>
      <c r="K138" s="499">
        <v>0.8758292</v>
      </c>
      <c r="L138" s="499">
        <v>0.8679526</v>
      </c>
      <c r="M138" s="500">
        <v>0.8592873</v>
      </c>
    </row>
    <row r="139" spans="4:13" ht="12.75">
      <c r="D139" s="497">
        <v>3</v>
      </c>
      <c r="E139" s="498" t="s">
        <v>16</v>
      </c>
      <c r="F139" s="499">
        <v>0.8833161</v>
      </c>
      <c r="G139" s="499">
        <v>0.8820317</v>
      </c>
      <c r="H139" s="890">
        <v>0.8794</v>
      </c>
      <c r="I139" s="499">
        <v>0.8876711</v>
      </c>
      <c r="J139" s="499">
        <v>0.9071977</v>
      </c>
      <c r="K139" s="499">
        <v>0.9009642</v>
      </c>
      <c r="L139" s="499">
        <v>0.893755</v>
      </c>
      <c r="M139" s="500">
        <v>0.8856638</v>
      </c>
    </row>
    <row r="140" spans="4:13" ht="12.75">
      <c r="D140" s="497">
        <v>2</v>
      </c>
      <c r="E140" s="498" t="s">
        <v>17</v>
      </c>
      <c r="F140" s="499">
        <v>0.9215191</v>
      </c>
      <c r="G140" s="499">
        <v>0.9205951</v>
      </c>
      <c r="H140" s="890">
        <v>0.9182</v>
      </c>
      <c r="I140" s="499">
        <v>0.9272291</v>
      </c>
      <c r="J140" s="499"/>
      <c r="K140" s="499"/>
      <c r="L140" s="499"/>
      <c r="M140" s="500"/>
    </row>
    <row r="141" spans="4:13" ht="12.75">
      <c r="D141" s="497">
        <v>4</v>
      </c>
      <c r="E141" s="498" t="s">
        <v>18</v>
      </c>
      <c r="F141" s="499">
        <v>0.8135433</v>
      </c>
      <c r="G141" s="499">
        <v>0.8148732</v>
      </c>
      <c r="H141" s="890">
        <v>0.8148</v>
      </c>
      <c r="I141" s="499">
        <v>0.8245884</v>
      </c>
      <c r="J141" s="499">
        <v>0.8447893</v>
      </c>
      <c r="K141" s="499">
        <v>0.8408918</v>
      </c>
      <c r="L141" s="499">
        <v>0.8359346</v>
      </c>
      <c r="M141" s="500">
        <v>0.8300101</v>
      </c>
    </row>
    <row r="142" spans="4:13" ht="12.75">
      <c r="D142" s="497">
        <v>3</v>
      </c>
      <c r="E142" s="498" t="s">
        <v>19</v>
      </c>
      <c r="F142" s="499">
        <v>0.8392951</v>
      </c>
      <c r="G142" s="499">
        <v>0.8397537</v>
      </c>
      <c r="H142" s="890">
        <v>0.8388</v>
      </c>
      <c r="I142" s="499">
        <v>0.8481361</v>
      </c>
      <c r="J142" s="499">
        <v>0.8681718</v>
      </c>
      <c r="K142" s="499">
        <v>0.8634835</v>
      </c>
      <c r="L142" s="499">
        <v>0.8577585</v>
      </c>
      <c r="M142" s="500">
        <v>0.8510926</v>
      </c>
    </row>
    <row r="143" spans="4:13" ht="12.75">
      <c r="D143" s="501">
        <v>2</v>
      </c>
      <c r="E143" s="502" t="s">
        <v>20</v>
      </c>
      <c r="F143" s="503">
        <v>0.8838333</v>
      </c>
      <c r="G143" s="503">
        <v>0.8844911</v>
      </c>
      <c r="H143" s="891">
        <v>0.8837</v>
      </c>
      <c r="I143" s="503">
        <v>0.8936346</v>
      </c>
      <c r="J143" s="503">
        <v>0.9148907</v>
      </c>
      <c r="K143" s="503">
        <v>0.9100795</v>
      </c>
      <c r="L143" s="503">
        <v>0.9041702</v>
      </c>
      <c r="M143" s="504">
        <v>0.8972542</v>
      </c>
    </row>
    <row r="147" spans="4:11" ht="13.5" thickBot="1">
      <c r="D147" s="852">
        <v>44743</v>
      </c>
      <c r="E147" s="853" t="s">
        <v>749</v>
      </c>
      <c r="F147" s="853"/>
      <c r="G147" s="854"/>
      <c r="H147" s="892"/>
      <c r="I147" s="854"/>
      <c r="J147" s="854"/>
      <c r="K147" s="854"/>
    </row>
    <row r="148" spans="4:11" ht="12.75">
      <c r="D148" s="855" t="s">
        <v>87</v>
      </c>
      <c r="E148" s="856">
        <v>1</v>
      </c>
      <c r="F148" s="856">
        <v>2</v>
      </c>
      <c r="G148" s="856">
        <v>3</v>
      </c>
      <c r="H148" s="893">
        <v>4</v>
      </c>
      <c r="I148" s="856">
        <v>5</v>
      </c>
      <c r="J148" s="856">
        <v>6</v>
      </c>
      <c r="K148" s="857">
        <v>7</v>
      </c>
    </row>
    <row r="149" spans="4:11" ht="26.25">
      <c r="D149" s="858" t="s">
        <v>750</v>
      </c>
      <c r="E149" s="752">
        <v>2071.92</v>
      </c>
      <c r="F149" s="752">
        <v>2413.79</v>
      </c>
      <c r="G149" s="752">
        <v>2617.04</v>
      </c>
      <c r="H149" s="879">
        <v>2837.43</v>
      </c>
      <c r="I149" s="752">
        <v>3076.35</v>
      </c>
      <c r="J149" s="752">
        <v>3335.44</v>
      </c>
      <c r="K149" s="752">
        <v>3616.32</v>
      </c>
    </row>
    <row r="150" spans="4:11" ht="12.75">
      <c r="D150" s="859" t="s">
        <v>87</v>
      </c>
      <c r="E150" s="860">
        <v>8</v>
      </c>
      <c r="F150" s="861">
        <v>9</v>
      </c>
      <c r="G150" s="861">
        <v>10</v>
      </c>
      <c r="H150" s="894">
        <v>11</v>
      </c>
      <c r="I150" s="861">
        <v>12</v>
      </c>
      <c r="J150" s="861">
        <v>13</v>
      </c>
      <c r="K150" s="862">
        <v>14</v>
      </c>
    </row>
    <row r="151" spans="4:11" ht="26.25">
      <c r="D151" s="858" t="s">
        <v>750</v>
      </c>
      <c r="E151" s="752">
        <v>3920.88</v>
      </c>
      <c r="F151" s="752">
        <v>4251.04</v>
      </c>
      <c r="G151" s="752">
        <v>4609.01</v>
      </c>
      <c r="H151" s="879">
        <v>4997.14</v>
      </c>
      <c r="I151" s="752">
        <v>5417.97</v>
      </c>
      <c r="J151" s="752">
        <v>5874.21</v>
      </c>
      <c r="K151" s="752">
        <v>6368.88</v>
      </c>
    </row>
    <row r="152" spans="4:11" ht="12.75">
      <c r="D152" s="859" t="s">
        <v>87</v>
      </c>
      <c r="E152" s="860">
        <v>15</v>
      </c>
      <c r="F152" s="861">
        <v>16</v>
      </c>
      <c r="G152" s="861">
        <v>17</v>
      </c>
      <c r="H152" s="894">
        <v>18</v>
      </c>
      <c r="I152" s="861">
        <v>19</v>
      </c>
      <c r="J152" s="861"/>
      <c r="K152" s="862"/>
    </row>
    <row r="153" spans="4:11" ht="27" thickBot="1">
      <c r="D153" s="863" t="s">
        <v>750</v>
      </c>
      <c r="E153" s="752">
        <v>6905.2</v>
      </c>
      <c r="F153" s="752">
        <v>7486.7</v>
      </c>
      <c r="G153" s="752">
        <v>8117.17</v>
      </c>
      <c r="H153" s="879">
        <v>8800.7</v>
      </c>
      <c r="I153" s="752">
        <v>9541.84</v>
      </c>
      <c r="J153" s="864"/>
      <c r="K153" s="865"/>
    </row>
  </sheetData>
  <sheetProtection password="CF11" sheet="1"/>
  <printOptions/>
  <pageMargins left="0.17" right="0.19" top="0.36" bottom="0.39" header="0.22" footer="0.26"/>
  <pageSetup horizontalDpi="600" verticalDpi="600" orientation="landscape" paperSize="9" r:id="rId4"/>
  <headerFooter alignWithMargins="0">
    <oddFooter>&amp;R&amp;8&amp;Z&amp;F &amp;A 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7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8" width="6.8515625" style="49" customWidth="1"/>
    <col min="9" max="9" width="7.8515625" style="49" customWidth="1"/>
    <col min="10" max="21" width="6.8515625" style="49" customWidth="1"/>
    <col min="22" max="22" width="9.00390625" style="49" customWidth="1"/>
    <col min="23" max="25" width="6.8515625" style="49" customWidth="1"/>
    <col min="26" max="28" width="9.140625" style="49" customWidth="1"/>
    <col min="29" max="29" width="6.8515625" style="49" customWidth="1"/>
    <col min="30" max="33" width="9.140625" style="49" customWidth="1"/>
    <col min="34" max="34" width="10.421875" style="49" customWidth="1"/>
    <col min="35" max="35" width="9.140625" style="49" customWidth="1"/>
    <col min="36" max="36" width="10.8515625" style="49" bestFit="1" customWidth="1"/>
    <col min="37" max="37" width="12.140625" style="49" customWidth="1"/>
    <col min="38" max="38" width="11.421875" style="49" customWidth="1"/>
    <col min="39" max="16384" width="9.140625" style="49" customWidth="1"/>
  </cols>
  <sheetData>
    <row r="1" spans="1:44" ht="12.75">
      <c r="A1" s="45" t="s">
        <v>76</v>
      </c>
      <c r="B1" s="45" t="s">
        <v>239</v>
      </c>
      <c r="C1" s="45" t="s">
        <v>92</v>
      </c>
      <c r="D1" s="45" t="s">
        <v>150</v>
      </c>
      <c r="E1" s="46" t="s">
        <v>395</v>
      </c>
      <c r="F1" s="46" t="s">
        <v>532</v>
      </c>
      <c r="G1" s="46" t="s">
        <v>533</v>
      </c>
      <c r="H1" s="46" t="s">
        <v>586</v>
      </c>
      <c r="I1" s="46" t="s">
        <v>534</v>
      </c>
      <c r="J1" s="255" t="s">
        <v>254</v>
      </c>
      <c r="K1" s="256" t="s">
        <v>256</v>
      </c>
      <c r="L1" s="46" t="s">
        <v>89</v>
      </c>
      <c r="M1" s="46" t="s">
        <v>90</v>
      </c>
      <c r="N1" s="47" t="s">
        <v>91</v>
      </c>
      <c r="O1" s="142" t="s">
        <v>120</v>
      </c>
      <c r="P1" s="47" t="s">
        <v>118</v>
      </c>
      <c r="Q1" s="47" t="s">
        <v>119</v>
      </c>
      <c r="R1" s="45" t="s">
        <v>125</v>
      </c>
      <c r="S1" s="47" t="s">
        <v>355</v>
      </c>
      <c r="T1" s="47" t="s">
        <v>356</v>
      </c>
      <c r="U1" s="47" t="s">
        <v>438</v>
      </c>
      <c r="V1" s="47" t="s">
        <v>439</v>
      </c>
      <c r="W1" s="48" t="s">
        <v>201</v>
      </c>
      <c r="X1" s="48" t="s">
        <v>202</v>
      </c>
      <c r="Y1" s="48" t="s">
        <v>93</v>
      </c>
      <c r="Z1" s="47" t="s">
        <v>133</v>
      </c>
      <c r="AA1" s="141" t="s">
        <v>207</v>
      </c>
      <c r="AB1" s="144" t="s">
        <v>209</v>
      </c>
      <c r="AC1" s="48" t="s">
        <v>94</v>
      </c>
      <c r="AD1" s="47" t="s">
        <v>134</v>
      </c>
      <c r="AE1" s="141" t="s">
        <v>208</v>
      </c>
      <c r="AF1" s="144" t="s">
        <v>210</v>
      </c>
      <c r="AG1" s="142" t="s">
        <v>130</v>
      </c>
      <c r="AH1" s="142" t="s">
        <v>178</v>
      </c>
      <c r="AI1" s="141" t="s">
        <v>131</v>
      </c>
      <c r="AJ1" s="45" t="s">
        <v>186</v>
      </c>
      <c r="AK1" s="48" t="s">
        <v>567</v>
      </c>
      <c r="AL1" s="45" t="s">
        <v>568</v>
      </c>
      <c r="AM1" s="48" t="s">
        <v>569</v>
      </c>
      <c r="AN1" s="48" t="s">
        <v>570</v>
      </c>
      <c r="AO1" s="48" t="s">
        <v>571</v>
      </c>
      <c r="AP1" s="48" t="s">
        <v>572</v>
      </c>
      <c r="AQ1" s="48" t="s">
        <v>573</v>
      </c>
      <c r="AR1" s="45" t="s">
        <v>574</v>
      </c>
    </row>
    <row r="2" spans="1:44" ht="12.75">
      <c r="A2" s="50">
        <f>iLanguage</f>
        <v>2</v>
      </c>
      <c r="B2" s="217" t="s">
        <v>325</v>
      </c>
      <c r="C2" s="50" t="str">
        <f>INDEX(tPlaces,iPlace)</f>
        <v>BE</v>
      </c>
      <c r="D2" s="51" t="b">
        <f>iTemp=2</f>
        <v>1</v>
      </c>
      <c r="E2" s="51" t="b">
        <f>iPensionFull=1</f>
        <v>0</v>
      </c>
      <c r="F2" s="51" t="b">
        <f>iParental=1</f>
        <v>0</v>
      </c>
      <c r="G2" s="51" t="b">
        <f>iIsole=1</f>
        <v>0</v>
      </c>
      <c r="H2" s="51" t="b">
        <f>iProlong=1</f>
        <v>0</v>
      </c>
      <c r="I2" s="60">
        <f>IF(PartTime=50%,iAllocParen/2,iAllocParen)</f>
        <v>0</v>
      </c>
      <c r="J2" s="253">
        <f>INDEX(tGradesN,iGradeN)</f>
        <v>1</v>
      </c>
      <c r="K2" s="253">
        <f>INDEX(tStepsN,iStepN)</f>
        <v>1</v>
      </c>
      <c r="L2" s="51" t="b">
        <f>iHousehold=1</f>
        <v>0</v>
      </c>
      <c r="M2" s="52">
        <f>INDEX(tChildren,iChildren)</f>
        <v>0</v>
      </c>
      <c r="N2" s="94">
        <f>INDEX(tExpats2,iExpat)</f>
        <v>0</v>
      </c>
      <c r="O2" s="55">
        <f>INDEX(tChildren,iSco05)</f>
        <v>0</v>
      </c>
      <c r="P2" s="53">
        <f>INDEX(tChildren,iScoUniv)</f>
        <v>0</v>
      </c>
      <c r="Q2" s="53">
        <f>INDEX(tChildren,iScoUniv50)</f>
        <v>0</v>
      </c>
      <c r="R2" s="579">
        <f>INDEX(tChildren,iSco05)</f>
        <v>0</v>
      </c>
      <c r="S2" s="51" t="b">
        <f>iCompIns=1</f>
        <v>0</v>
      </c>
      <c r="T2" s="51" t="b">
        <f>iDepIns=1</f>
        <v>0</v>
      </c>
      <c r="U2" s="356">
        <f>INDEX(tLivCond,iLivCond)</f>
        <v>0</v>
      </c>
      <c r="V2" s="356">
        <f>INDEX(tDifLivCond,iDifLivCond)</f>
        <v>0</v>
      </c>
      <c r="W2" s="54" t="str">
        <f>INDEX(tEM,iEMtrf0)</f>
        <v>BE</v>
      </c>
      <c r="X2" s="93">
        <f>DataInput!C32</f>
        <v>0</v>
      </c>
      <c r="Y2" s="54" t="str">
        <f>INDEX(tEM,iEMtrf1)</f>
        <v>BE</v>
      </c>
      <c r="Z2" s="92">
        <f>DataInput!C34</f>
        <v>0</v>
      </c>
      <c r="AA2" s="53">
        <f>INDEX(tChildren,iTrfSco1)</f>
        <v>0</v>
      </c>
      <c r="AB2" s="53">
        <f>INDEX(tChildren,iTrfUniv1)</f>
        <v>0</v>
      </c>
      <c r="AC2" s="54" t="str">
        <f>INDEX(tEM,iEMtrf2)</f>
        <v>BE</v>
      </c>
      <c r="AD2" s="92">
        <f>DataInput!C35</f>
        <v>0</v>
      </c>
      <c r="AE2" s="53">
        <f>INDEX(tChildren,iTrfSco2)</f>
        <v>0</v>
      </c>
      <c r="AF2" s="53">
        <f>INDEX(tChildren,iTrfUniv2)</f>
        <v>0</v>
      </c>
      <c r="AG2" s="55">
        <f>INDEX(tChildren,iTripNum)</f>
        <v>0</v>
      </c>
      <c r="AH2" s="55">
        <f>INDEX(tChildren,iTripNumChild)</f>
        <v>0</v>
      </c>
      <c r="AI2" s="53">
        <f>DataInput!C30</f>
        <v>0</v>
      </c>
      <c r="AJ2" s="347">
        <f>DataInput!C6</f>
        <v>1</v>
      </c>
      <c r="AK2" s="54">
        <f>VLOOKUP(Place,parameters!L4:Q36,5,FALSE)</f>
        <v>1</v>
      </c>
      <c r="AL2" s="50" t="str">
        <f>VLOOKUP(Place,parameters!L4:Q36,6,FALSE)</f>
        <v>EUR</v>
      </c>
      <c r="AM2" s="54" t="str">
        <f>VLOOKUP(EMtrf0,parameters!$L$4:$Q$36,6,FALSE)</f>
        <v>EUR</v>
      </c>
      <c r="AN2" s="54">
        <f>VLOOKUP(EMtrf0,parameters!L4:$Q$36,5,FALSE)</f>
        <v>1</v>
      </c>
      <c r="AO2" s="54" t="str">
        <f>VLOOKUP(EMtrf1,parameters!$L$4:$Q$36,6,FALSE)</f>
        <v>EUR</v>
      </c>
      <c r="AP2" s="54">
        <f>VLOOKUP(EMtrf1,parameters!L4:$Q$36,5,FALSE)</f>
        <v>1</v>
      </c>
      <c r="AQ2" s="54" t="str">
        <f>VLOOKUP(EMtrf2,parameters!$L$4:$Q$36,6,FALSE)</f>
        <v>EUR</v>
      </c>
      <c r="AR2" s="50">
        <f>VLOOKUP(EMtrf2,parameters!L4:$Q$36,5,FALSE)</f>
        <v>1</v>
      </c>
    </row>
    <row r="3" spans="2:22" ht="12.75">
      <c r="B3" s="217" t="s">
        <v>326</v>
      </c>
      <c r="J3" s="248" t="s">
        <v>277</v>
      </c>
      <c r="K3" s="248"/>
      <c r="R3" s="579">
        <f>INDEX(tChildren,iScoUniv)</f>
        <v>0</v>
      </c>
      <c r="S3" s="85"/>
      <c r="T3" s="85"/>
      <c r="U3" s="85"/>
      <c r="V3" s="85"/>
    </row>
    <row r="4" spans="1:34" ht="12.75">
      <c r="A4" s="56" t="s">
        <v>108</v>
      </c>
      <c r="C4" s="56" t="s">
        <v>98</v>
      </c>
      <c r="D4" s="56" t="s">
        <v>149</v>
      </c>
      <c r="E4" s="57" t="s">
        <v>396</v>
      </c>
      <c r="F4" s="57" t="s">
        <v>535</v>
      </c>
      <c r="G4" s="57" t="s">
        <v>536</v>
      </c>
      <c r="H4" s="57" t="s">
        <v>587</v>
      </c>
      <c r="I4" s="57" t="s">
        <v>537</v>
      </c>
      <c r="J4" s="249" t="s">
        <v>253</v>
      </c>
      <c r="K4" s="249" t="s">
        <v>257</v>
      </c>
      <c r="L4" s="57" t="s">
        <v>95</v>
      </c>
      <c r="M4" s="57" t="s">
        <v>96</v>
      </c>
      <c r="N4" s="57" t="s">
        <v>97</v>
      </c>
      <c r="O4" s="143" t="s">
        <v>121</v>
      </c>
      <c r="P4" s="58" t="s">
        <v>122</v>
      </c>
      <c r="Q4" s="57" t="s">
        <v>123</v>
      </c>
      <c r="R4" s="580">
        <f>INDEX(tChildren,iScoUniv50)</f>
        <v>0</v>
      </c>
      <c r="S4" s="57" t="s">
        <v>357</v>
      </c>
      <c r="T4" s="57" t="s">
        <v>358</v>
      </c>
      <c r="U4" s="57" t="s">
        <v>440</v>
      </c>
      <c r="V4" s="57" t="s">
        <v>441</v>
      </c>
      <c r="W4" s="56" t="s">
        <v>203</v>
      </c>
      <c r="Y4" s="56" t="s">
        <v>99</v>
      </c>
      <c r="AA4" s="143" t="s">
        <v>211</v>
      </c>
      <c r="AB4" s="145" t="s">
        <v>212</v>
      </c>
      <c r="AC4" s="56" t="s">
        <v>100</v>
      </c>
      <c r="AE4" s="143" t="s">
        <v>213</v>
      </c>
      <c r="AF4" s="145" t="s">
        <v>214</v>
      </c>
      <c r="AG4" s="140" t="s">
        <v>132</v>
      </c>
      <c r="AH4" s="140" t="s">
        <v>179</v>
      </c>
    </row>
    <row r="5" spans="1:35" ht="11.25">
      <c r="A5" s="59">
        <v>2</v>
      </c>
      <c r="C5" s="59">
        <v>1</v>
      </c>
      <c r="D5" s="59">
        <v>2</v>
      </c>
      <c r="E5" s="60">
        <v>2</v>
      </c>
      <c r="F5" s="60">
        <v>2</v>
      </c>
      <c r="G5" s="60">
        <v>2</v>
      </c>
      <c r="H5" s="60">
        <v>2</v>
      </c>
      <c r="I5" s="60">
        <f>IF(Parental,IF(Isole,IF(Prolong,ROUND(parameters!$G$5/2,2),parameters!$G$5),IF(Prolong,ROUND(parameters!$G$4/2,2),parameters!$G$4)),)</f>
        <v>0</v>
      </c>
      <c r="J5" s="250">
        <v>18</v>
      </c>
      <c r="K5" s="250">
        <v>1</v>
      </c>
      <c r="L5" s="60">
        <v>2</v>
      </c>
      <c r="M5" s="60">
        <v>1</v>
      </c>
      <c r="N5" s="60">
        <v>3</v>
      </c>
      <c r="O5" s="95">
        <v>1</v>
      </c>
      <c r="P5" s="61">
        <v>1</v>
      </c>
      <c r="Q5" s="60">
        <v>1</v>
      </c>
      <c r="S5" s="61">
        <v>2</v>
      </c>
      <c r="T5" s="61">
        <v>2</v>
      </c>
      <c r="U5" s="61">
        <v>1</v>
      </c>
      <c r="V5" s="61">
        <v>1</v>
      </c>
      <c r="W5" s="59">
        <v>1</v>
      </c>
      <c r="X5" s="199"/>
      <c r="Y5" s="59">
        <v>1</v>
      </c>
      <c r="Z5" s="199"/>
      <c r="AA5" s="95">
        <v>1</v>
      </c>
      <c r="AB5" s="60">
        <v>1</v>
      </c>
      <c r="AC5" s="59">
        <v>1</v>
      </c>
      <c r="AD5" s="199"/>
      <c r="AE5" s="95">
        <v>1</v>
      </c>
      <c r="AF5" s="60">
        <v>1</v>
      </c>
      <c r="AG5" s="59">
        <v>1</v>
      </c>
      <c r="AH5" s="59">
        <v>1</v>
      </c>
      <c r="AI5" s="199"/>
    </row>
    <row r="6" spans="3:24" ht="12" thickBot="1">
      <c r="C6" s="62"/>
      <c r="D6" s="62"/>
      <c r="E6" s="62"/>
      <c r="F6" s="62"/>
      <c r="G6" s="62"/>
      <c r="H6" s="62"/>
      <c r="I6" s="62"/>
      <c r="J6" s="251"/>
      <c r="K6" s="251"/>
      <c r="L6" s="62"/>
      <c r="M6" s="62"/>
      <c r="N6" s="62"/>
      <c r="O6" s="62"/>
      <c r="P6" s="62"/>
      <c r="Q6" s="62"/>
      <c r="S6" s="85"/>
      <c r="T6" s="85"/>
      <c r="U6" s="85"/>
      <c r="V6" s="85"/>
      <c r="W6" s="85"/>
      <c r="X6" s="85"/>
    </row>
    <row r="7" spans="1:36" ht="12.75">
      <c r="A7" s="56" t="s">
        <v>107</v>
      </c>
      <c r="C7" s="56" t="s">
        <v>101</v>
      </c>
      <c r="D7" s="57" t="s">
        <v>148</v>
      </c>
      <c r="E7" s="56" t="s">
        <v>397</v>
      </c>
      <c r="F7" s="56" t="s">
        <v>538</v>
      </c>
      <c r="G7" s="56" t="s">
        <v>539</v>
      </c>
      <c r="H7" s="56" t="s">
        <v>588</v>
      </c>
      <c r="I7" s="56"/>
      <c r="J7" s="249" t="s">
        <v>255</v>
      </c>
      <c r="K7" s="249" t="s">
        <v>258</v>
      </c>
      <c r="L7" s="56" t="s">
        <v>398</v>
      </c>
      <c r="M7" s="57" t="s">
        <v>191</v>
      </c>
      <c r="N7" s="56" t="s">
        <v>158</v>
      </c>
      <c r="O7" s="63"/>
      <c r="S7" s="56" t="s">
        <v>355</v>
      </c>
      <c r="T7" s="353" t="s">
        <v>356</v>
      </c>
      <c r="U7" s="353" t="s">
        <v>438</v>
      </c>
      <c r="V7" s="56" t="s">
        <v>439</v>
      </c>
      <c r="W7" s="57" t="s">
        <v>102</v>
      </c>
      <c r="AJ7" s="346" t="s">
        <v>429</v>
      </c>
    </row>
    <row r="8" spans="1:36" ht="13.5">
      <c r="A8" s="65" t="s">
        <v>103</v>
      </c>
      <c r="C8" s="331" t="s">
        <v>408</v>
      </c>
      <c r="D8" s="66" t="s">
        <v>142</v>
      </c>
      <c r="E8" s="65" t="s">
        <v>104</v>
      </c>
      <c r="F8" s="65" t="s">
        <v>104</v>
      </c>
      <c r="G8" s="65" t="s">
        <v>104</v>
      </c>
      <c r="H8" s="65" t="s">
        <v>104</v>
      </c>
      <c r="I8" s="65"/>
      <c r="J8" s="252">
        <v>18</v>
      </c>
      <c r="K8" s="252">
        <v>1</v>
      </c>
      <c r="L8" s="65" t="s">
        <v>104</v>
      </c>
      <c r="M8" s="66">
        <v>0</v>
      </c>
      <c r="N8" s="67">
        <v>0.16</v>
      </c>
      <c r="S8" s="65" t="s">
        <v>104</v>
      </c>
      <c r="T8" s="354" t="s">
        <v>104</v>
      </c>
      <c r="U8" s="357">
        <v>0</v>
      </c>
      <c r="V8" s="67">
        <v>0</v>
      </c>
      <c r="W8" s="359" t="s">
        <v>408</v>
      </c>
      <c r="AJ8" s="345">
        <f>INDEX(tPartTime,iPartTime)</f>
        <v>1</v>
      </c>
    </row>
    <row r="9" spans="1:36" ht="13.5">
      <c r="A9" s="68" t="s">
        <v>105</v>
      </c>
      <c r="C9" s="332" t="s">
        <v>409</v>
      </c>
      <c r="D9" s="330" t="s">
        <v>143</v>
      </c>
      <c r="E9" s="68" t="s">
        <v>106</v>
      </c>
      <c r="F9" s="68" t="s">
        <v>106</v>
      </c>
      <c r="G9" s="68" t="s">
        <v>106</v>
      </c>
      <c r="H9" s="68" t="s">
        <v>106</v>
      </c>
      <c r="I9" s="68"/>
      <c r="J9" s="252">
        <v>17</v>
      </c>
      <c r="K9" s="252">
        <v>2</v>
      </c>
      <c r="L9" s="68" t="s">
        <v>106</v>
      </c>
      <c r="M9" s="66">
        <v>1</v>
      </c>
      <c r="N9" s="67">
        <v>0.04</v>
      </c>
      <c r="S9" s="68" t="s">
        <v>106</v>
      </c>
      <c r="T9" s="355" t="s">
        <v>106</v>
      </c>
      <c r="U9" s="357">
        <v>0.1</v>
      </c>
      <c r="V9" s="67">
        <v>0.05</v>
      </c>
      <c r="W9" s="360" t="s">
        <v>409</v>
      </c>
      <c r="AJ9" s="335"/>
    </row>
    <row r="10" spans="3:36" ht="14.25">
      <c r="C10" s="332" t="s">
        <v>543</v>
      </c>
      <c r="D10" s="62"/>
      <c r="E10" s="62"/>
      <c r="F10" s="62"/>
      <c r="G10" s="62"/>
      <c r="H10" s="62"/>
      <c r="I10" s="62"/>
      <c r="J10" s="252">
        <v>16</v>
      </c>
      <c r="K10" s="252">
        <v>3</v>
      </c>
      <c r="L10" s="64"/>
      <c r="M10" s="65">
        <v>2</v>
      </c>
      <c r="N10" s="69">
        <v>0</v>
      </c>
      <c r="U10" s="357">
        <v>0.15</v>
      </c>
      <c r="V10" s="67">
        <v>0.1</v>
      </c>
      <c r="W10" s="360" t="s">
        <v>543</v>
      </c>
      <c r="AJ10" s="336" t="s">
        <v>187</v>
      </c>
    </row>
    <row r="11" spans="3:36" ht="13.5">
      <c r="C11" s="332" t="s">
        <v>410</v>
      </c>
      <c r="D11" s="62"/>
      <c r="E11" s="62"/>
      <c r="F11" s="62"/>
      <c r="G11" s="62"/>
      <c r="H11" s="62"/>
      <c r="I11" s="62"/>
      <c r="J11" s="252">
        <v>15</v>
      </c>
      <c r="K11" s="252">
        <v>4</v>
      </c>
      <c r="L11" s="64"/>
      <c r="M11" s="65">
        <v>3</v>
      </c>
      <c r="N11" s="64"/>
      <c r="U11" s="358">
        <v>0.2</v>
      </c>
      <c r="V11" s="69">
        <v>0.15</v>
      </c>
      <c r="W11" s="360" t="s">
        <v>410</v>
      </c>
      <c r="AJ11" s="337">
        <v>1</v>
      </c>
    </row>
    <row r="12" spans="3:36" ht="14.25">
      <c r="C12" s="332" t="s">
        <v>52</v>
      </c>
      <c r="D12" s="62"/>
      <c r="E12" s="62"/>
      <c r="F12" s="62"/>
      <c r="G12" s="62"/>
      <c r="H12" s="62"/>
      <c r="I12" s="62"/>
      <c r="J12" s="252">
        <v>14</v>
      </c>
      <c r="K12" s="252">
        <v>5</v>
      </c>
      <c r="L12" s="64"/>
      <c r="M12" s="65">
        <v>4</v>
      </c>
      <c r="N12" s="56" t="s">
        <v>159</v>
      </c>
      <c r="U12" s="67">
        <v>0.25</v>
      </c>
      <c r="W12" s="332" t="s">
        <v>52</v>
      </c>
      <c r="AJ12" s="335"/>
    </row>
    <row r="13" spans="3:36" ht="14.25">
      <c r="C13" s="332" t="s">
        <v>411</v>
      </c>
      <c r="D13" s="62"/>
      <c r="E13" s="62"/>
      <c r="F13" s="62"/>
      <c r="G13" s="62"/>
      <c r="H13" s="62"/>
      <c r="I13" s="62"/>
      <c r="J13" s="252">
        <v>13</v>
      </c>
      <c r="K13" s="252">
        <v>6</v>
      </c>
      <c r="L13" s="64"/>
      <c r="M13" s="65">
        <v>5</v>
      </c>
      <c r="N13" s="67">
        <v>1</v>
      </c>
      <c r="U13" s="67">
        <v>0.3</v>
      </c>
      <c r="W13" s="332" t="s">
        <v>411</v>
      </c>
      <c r="AJ13" s="336" t="s">
        <v>188</v>
      </c>
    </row>
    <row r="14" spans="3:36" ht="13.5">
      <c r="C14" s="333" t="s">
        <v>54</v>
      </c>
      <c r="D14" s="62"/>
      <c r="E14" s="62"/>
      <c r="F14" s="62"/>
      <c r="G14" s="62"/>
      <c r="H14" s="62"/>
      <c r="I14" s="62"/>
      <c r="J14" s="252">
        <v>12</v>
      </c>
      <c r="K14" s="254">
        <v>7</v>
      </c>
      <c r="L14" s="64"/>
      <c r="M14" s="65">
        <v>6</v>
      </c>
      <c r="N14" s="67">
        <v>0.25</v>
      </c>
      <c r="U14" s="67">
        <v>0.35</v>
      </c>
      <c r="W14" s="332" t="s">
        <v>413</v>
      </c>
      <c r="AJ14" s="338">
        <v>1</v>
      </c>
    </row>
    <row r="15" spans="3:36" ht="13.5">
      <c r="C15" s="332" t="s">
        <v>412</v>
      </c>
      <c r="D15" s="62"/>
      <c r="E15" s="62"/>
      <c r="F15" s="62"/>
      <c r="G15" s="62"/>
      <c r="H15" s="62"/>
      <c r="I15" s="62"/>
      <c r="J15" s="252">
        <v>11</v>
      </c>
      <c r="K15" s="247"/>
      <c r="L15" s="64"/>
      <c r="M15" s="65">
        <v>7</v>
      </c>
      <c r="N15" s="69">
        <v>0</v>
      </c>
      <c r="U15" s="69">
        <v>0.4</v>
      </c>
      <c r="W15" s="332" t="s">
        <v>55</v>
      </c>
      <c r="AJ15" s="339">
        <v>0.9</v>
      </c>
    </row>
    <row r="16" spans="3:36" ht="13.5">
      <c r="C16" s="332" t="s">
        <v>413</v>
      </c>
      <c r="D16" s="62"/>
      <c r="E16" s="62"/>
      <c r="F16" s="62"/>
      <c r="G16" s="62"/>
      <c r="H16" s="62"/>
      <c r="I16" s="62"/>
      <c r="J16" s="252">
        <v>10</v>
      </c>
      <c r="K16" s="247"/>
      <c r="L16" s="64"/>
      <c r="M16" s="68">
        <v>8</v>
      </c>
      <c r="W16" s="332" t="s">
        <v>414</v>
      </c>
      <c r="AJ16" s="340">
        <v>0.8</v>
      </c>
    </row>
    <row r="17" spans="1:36" ht="13.5">
      <c r="A17" s="114"/>
      <c r="C17" s="332" t="s">
        <v>55</v>
      </c>
      <c r="D17" s="62"/>
      <c r="E17" s="62"/>
      <c r="F17" s="64"/>
      <c r="G17" s="64"/>
      <c r="H17" s="64"/>
      <c r="I17" s="64"/>
      <c r="J17" s="252">
        <v>9</v>
      </c>
      <c r="K17" s="247"/>
      <c r="L17" s="64"/>
      <c r="M17" s="64"/>
      <c r="W17" s="332" t="s">
        <v>105</v>
      </c>
      <c r="AJ17" s="339">
        <v>0.75</v>
      </c>
    </row>
    <row r="18" spans="1:36" ht="13.5">
      <c r="A18" s="114"/>
      <c r="C18" s="332" t="s">
        <v>414</v>
      </c>
      <c r="D18" s="62"/>
      <c r="E18" s="62"/>
      <c r="F18" s="64"/>
      <c r="G18" s="64"/>
      <c r="H18" s="64"/>
      <c r="I18" s="64"/>
      <c r="J18" s="252">
        <v>8</v>
      </c>
      <c r="K18" s="247"/>
      <c r="L18" s="64"/>
      <c r="M18" s="64"/>
      <c r="W18" s="332" t="s">
        <v>415</v>
      </c>
      <c r="AJ18" s="339">
        <v>0.6</v>
      </c>
    </row>
    <row r="19" spans="3:36" ht="13.5">
      <c r="C19" s="332" t="s">
        <v>105</v>
      </c>
      <c r="D19" s="62"/>
      <c r="E19" s="62"/>
      <c r="F19" s="64"/>
      <c r="G19" s="64"/>
      <c r="H19" s="64"/>
      <c r="I19" s="64"/>
      <c r="J19" s="252">
        <v>7</v>
      </c>
      <c r="K19" s="247"/>
      <c r="L19" s="64"/>
      <c r="M19" s="64"/>
      <c r="W19" s="332" t="s">
        <v>416</v>
      </c>
      <c r="AJ19" s="342">
        <v>0.5</v>
      </c>
    </row>
    <row r="20" spans="3:36" ht="15">
      <c r="C20" s="332" t="s">
        <v>415</v>
      </c>
      <c r="D20" s="62"/>
      <c r="E20" s="62"/>
      <c r="F20" s="64"/>
      <c r="G20" s="64"/>
      <c r="H20" s="64"/>
      <c r="I20" s="64"/>
      <c r="J20" s="252">
        <v>6</v>
      </c>
      <c r="K20" s="247"/>
      <c r="L20" s="64"/>
      <c r="M20" s="64"/>
      <c r="W20" s="332" t="s">
        <v>417</v>
      </c>
      <c r="AJ20" s="335"/>
    </row>
    <row r="21" spans="3:36" ht="15.75" thickBot="1">
      <c r="C21" s="332" t="s">
        <v>416</v>
      </c>
      <c r="D21" s="62"/>
      <c r="E21" s="62"/>
      <c r="F21" s="64"/>
      <c r="G21" s="64"/>
      <c r="H21" s="64"/>
      <c r="I21" s="64"/>
      <c r="J21" s="252">
        <v>5</v>
      </c>
      <c r="K21" s="247"/>
      <c r="L21" s="64"/>
      <c r="M21" s="64"/>
      <c r="W21" s="332" t="s">
        <v>418</v>
      </c>
      <c r="AJ21" s="341"/>
    </row>
    <row r="22" spans="3:23" ht="13.5">
      <c r="C22" s="332" t="s">
        <v>57</v>
      </c>
      <c r="D22" s="62"/>
      <c r="E22" s="62"/>
      <c r="F22" s="64"/>
      <c r="G22" s="64"/>
      <c r="H22" s="64"/>
      <c r="I22" s="64"/>
      <c r="J22" s="252">
        <v>4</v>
      </c>
      <c r="K22" s="247"/>
      <c r="L22" s="64"/>
      <c r="M22" s="64"/>
      <c r="W22" s="332" t="s">
        <v>419</v>
      </c>
    </row>
    <row r="23" spans="3:23" ht="13.5">
      <c r="C23" s="332" t="s">
        <v>417</v>
      </c>
      <c r="D23" s="62"/>
      <c r="E23" s="62"/>
      <c r="F23" s="64"/>
      <c r="G23" s="64"/>
      <c r="H23" s="64"/>
      <c r="I23" s="64"/>
      <c r="J23" s="252">
        <v>3</v>
      </c>
      <c r="K23" s="64"/>
      <c r="L23" s="64"/>
      <c r="M23" s="64"/>
      <c r="W23" s="332" t="s">
        <v>420</v>
      </c>
    </row>
    <row r="24" spans="3:23" ht="13.5">
      <c r="C24" s="332" t="s">
        <v>418</v>
      </c>
      <c r="D24" s="62"/>
      <c r="E24" s="62"/>
      <c r="F24" s="64"/>
      <c r="G24" s="64"/>
      <c r="H24" s="64"/>
      <c r="I24" s="64"/>
      <c r="J24" s="252">
        <v>2</v>
      </c>
      <c r="K24" s="64"/>
      <c r="L24" s="64"/>
      <c r="M24" s="64"/>
      <c r="W24" s="332" t="s">
        <v>421</v>
      </c>
    </row>
    <row r="25" spans="3:23" ht="13.5">
      <c r="C25" s="332" t="s">
        <v>419</v>
      </c>
      <c r="D25" s="62"/>
      <c r="E25" s="62"/>
      <c r="F25" s="64"/>
      <c r="G25" s="64"/>
      <c r="H25" s="64"/>
      <c r="I25" s="64"/>
      <c r="J25" s="302">
        <v>1</v>
      </c>
      <c r="K25" s="64"/>
      <c r="L25" s="64"/>
      <c r="M25" s="64"/>
      <c r="N25" s="64"/>
      <c r="O25" s="64"/>
      <c r="W25" s="332" t="s">
        <v>58</v>
      </c>
    </row>
    <row r="26" spans="3:23" ht="13.5">
      <c r="C26" s="332" t="s">
        <v>420</v>
      </c>
      <c r="D26" s="62"/>
      <c r="E26" s="62"/>
      <c r="F26" s="64"/>
      <c r="G26" s="64"/>
      <c r="H26" s="64"/>
      <c r="I26" s="64"/>
      <c r="J26" s="64"/>
      <c r="K26" s="64"/>
      <c r="L26" s="64"/>
      <c r="M26" s="64"/>
      <c r="N26" s="64"/>
      <c r="O26" s="64"/>
      <c r="W26" s="332" t="s">
        <v>422</v>
      </c>
    </row>
    <row r="27" spans="3:23" ht="13.5">
      <c r="C27" s="332" t="s">
        <v>421</v>
      </c>
      <c r="D27" s="62"/>
      <c r="E27" s="62"/>
      <c r="F27" s="64"/>
      <c r="G27" s="64"/>
      <c r="H27" s="64"/>
      <c r="I27" s="64"/>
      <c r="J27" s="64"/>
      <c r="K27" s="64"/>
      <c r="L27" s="64"/>
      <c r="M27" s="64"/>
      <c r="N27" s="64"/>
      <c r="O27" s="64"/>
      <c r="W27" s="332" t="s">
        <v>423</v>
      </c>
    </row>
    <row r="28" spans="3:23" ht="13.5">
      <c r="C28" s="332" t="s">
        <v>58</v>
      </c>
      <c r="D28" s="62"/>
      <c r="E28" s="62"/>
      <c r="F28" s="64"/>
      <c r="G28" s="64"/>
      <c r="H28" s="64"/>
      <c r="I28" s="64"/>
      <c r="J28" s="64"/>
      <c r="K28" s="64"/>
      <c r="L28" s="64"/>
      <c r="M28" s="64"/>
      <c r="N28" s="64"/>
      <c r="O28" s="64"/>
      <c r="W28" s="332" t="s">
        <v>424</v>
      </c>
    </row>
    <row r="29" spans="3:23" ht="13.5">
      <c r="C29" s="332" t="s">
        <v>422</v>
      </c>
      <c r="E29" s="64"/>
      <c r="F29" s="64"/>
      <c r="G29" s="64"/>
      <c r="H29" s="64"/>
      <c r="I29" s="64"/>
      <c r="J29" s="64"/>
      <c r="L29" s="64"/>
      <c r="M29" s="64"/>
      <c r="N29" s="64"/>
      <c r="O29" s="64"/>
      <c r="W29" s="332" t="s">
        <v>544</v>
      </c>
    </row>
    <row r="30" spans="3:23" ht="13.5">
      <c r="C30" s="332" t="s">
        <v>423</v>
      </c>
      <c r="E30" s="64"/>
      <c r="F30" s="64"/>
      <c r="G30" s="64"/>
      <c r="H30" s="64"/>
      <c r="I30" s="64"/>
      <c r="J30" s="64"/>
      <c r="W30" s="332" t="s">
        <v>425</v>
      </c>
    </row>
    <row r="31" spans="3:23" ht="13.5">
      <c r="C31" s="332" t="s">
        <v>424</v>
      </c>
      <c r="J31" s="64"/>
      <c r="W31" s="332" t="s">
        <v>426</v>
      </c>
    </row>
    <row r="32" spans="3:23" ht="13.5">
      <c r="C32" s="332" t="s">
        <v>544</v>
      </c>
      <c r="W32" s="332" t="s">
        <v>427</v>
      </c>
    </row>
    <row r="33" spans="3:23" ht="13.5">
      <c r="C33" s="332" t="s">
        <v>425</v>
      </c>
      <c r="W33" s="332" t="s">
        <v>428</v>
      </c>
    </row>
    <row r="34" spans="3:23" ht="13.5">
      <c r="C34" s="332" t="s">
        <v>426</v>
      </c>
      <c r="W34" s="331" t="s">
        <v>576</v>
      </c>
    </row>
    <row r="35" spans="3:23" ht="13.5">
      <c r="C35" s="332" t="s">
        <v>427</v>
      </c>
      <c r="W35" s="334"/>
    </row>
    <row r="36" ht="13.5">
      <c r="C36" s="332" t="s">
        <v>428</v>
      </c>
    </row>
    <row r="37" ht="13.5">
      <c r="C37" s="331" t="s">
        <v>576</v>
      </c>
    </row>
  </sheetData>
  <sheetProtection password="CF11"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67">
      <selection activeCell="D77" sqref="D77"/>
    </sheetView>
  </sheetViews>
  <sheetFormatPr defaultColWidth="9.140625" defaultRowHeight="12.75"/>
  <cols>
    <col min="1" max="2" width="40.8515625" style="18" customWidth="1"/>
    <col min="3" max="3" width="2.421875" style="18" customWidth="1"/>
    <col min="4" max="4" width="23.140625" style="0" customWidth="1"/>
    <col min="5" max="5" width="8.8515625" style="0" customWidth="1"/>
    <col min="6" max="16384" width="9.140625" style="18" customWidth="1"/>
  </cols>
  <sheetData>
    <row r="1" spans="1:2" ht="12.75">
      <c r="A1" s="207" t="s">
        <v>136</v>
      </c>
      <c r="B1" s="208" t="s">
        <v>135</v>
      </c>
    </row>
    <row r="2" spans="1:2" ht="12.75">
      <c r="A2" s="128" t="s">
        <v>495</v>
      </c>
      <c r="B2" s="128" t="s">
        <v>496</v>
      </c>
    </row>
    <row r="3" spans="1:2" ht="12.75">
      <c r="A3" s="147" t="s">
        <v>139</v>
      </c>
      <c r="B3" s="148" t="s">
        <v>162</v>
      </c>
    </row>
    <row r="4" spans="1:2" ht="12.75">
      <c r="A4" s="39" t="s">
        <v>69</v>
      </c>
      <c r="B4" s="39" t="s">
        <v>69</v>
      </c>
    </row>
    <row r="5" spans="1:2" ht="12.75">
      <c r="A5" s="37" t="s">
        <v>85</v>
      </c>
      <c r="B5" s="37" t="s">
        <v>140</v>
      </c>
    </row>
    <row r="6" spans="1:2" ht="12.75">
      <c r="A6" s="37" t="s">
        <v>144</v>
      </c>
      <c r="B6" s="37" t="s">
        <v>141</v>
      </c>
    </row>
    <row r="7" spans="1:2" ht="12.75">
      <c r="A7" s="37" t="s">
        <v>189</v>
      </c>
      <c r="B7" s="70" t="s">
        <v>190</v>
      </c>
    </row>
    <row r="8" spans="1:2" ht="12.75">
      <c r="A8" s="37" t="s">
        <v>393</v>
      </c>
      <c r="B8" s="70" t="s">
        <v>394</v>
      </c>
    </row>
    <row r="9" spans="1:2" ht="12.75">
      <c r="A9" s="627" t="s">
        <v>528</v>
      </c>
      <c r="B9" s="628" t="s">
        <v>529</v>
      </c>
    </row>
    <row r="10" spans="1:2" ht="12.75">
      <c r="A10" s="627" t="s">
        <v>589</v>
      </c>
      <c r="B10" s="628" t="s">
        <v>579</v>
      </c>
    </row>
    <row r="11" spans="1:2" ht="12.75">
      <c r="A11" s="627" t="s">
        <v>580</v>
      </c>
      <c r="B11" s="628" t="s">
        <v>581</v>
      </c>
    </row>
    <row r="12" spans="1:2" ht="12.75">
      <c r="A12" s="352" t="s">
        <v>432</v>
      </c>
      <c r="B12" s="352" t="s">
        <v>433</v>
      </c>
    </row>
    <row r="13" spans="1:3" ht="12.75">
      <c r="A13" s="147" t="s">
        <v>276</v>
      </c>
      <c r="B13" s="148" t="s">
        <v>77</v>
      </c>
      <c r="C13"/>
    </row>
    <row r="14" spans="1:2" ht="12.75">
      <c r="A14" s="257" t="s">
        <v>374</v>
      </c>
      <c r="B14" s="257" t="s">
        <v>375</v>
      </c>
    </row>
    <row r="15" spans="1:5" s="316" customFormat="1" ht="12.75">
      <c r="A15" s="315" t="s">
        <v>391</v>
      </c>
      <c r="B15" s="315" t="s">
        <v>392</v>
      </c>
      <c r="D15" s="317"/>
      <c r="E15" s="317"/>
    </row>
    <row r="16" spans="1:5" s="316" customFormat="1" ht="12.75">
      <c r="A16" s="315" t="s">
        <v>510</v>
      </c>
      <c r="B16" s="315" t="s">
        <v>511</v>
      </c>
      <c r="D16" s="317"/>
      <c r="E16" s="317"/>
    </row>
    <row r="17" spans="1:5" s="316" customFormat="1" ht="12.75">
      <c r="A17" s="315" t="s">
        <v>520</v>
      </c>
      <c r="B17" s="315" t="s">
        <v>521</v>
      </c>
      <c r="D17" s="317"/>
      <c r="E17" s="317"/>
    </row>
    <row r="18" spans="1:5" s="316" customFormat="1" ht="12.75">
      <c r="A18" s="315" t="s">
        <v>513</v>
      </c>
      <c r="B18" s="315" t="s">
        <v>512</v>
      </c>
      <c r="D18" s="317"/>
      <c r="E18" s="317"/>
    </row>
    <row r="19" spans="1:2" ht="12.75">
      <c r="A19" s="258" t="s">
        <v>377</v>
      </c>
      <c r="B19" s="258" t="s">
        <v>378</v>
      </c>
    </row>
    <row r="20" spans="1:4" ht="12.75">
      <c r="A20" s="258" t="s">
        <v>385</v>
      </c>
      <c r="B20" s="258" t="s">
        <v>376</v>
      </c>
      <c r="C20"/>
      <c r="D20" t="s">
        <v>399</v>
      </c>
    </row>
    <row r="21" spans="1:2" ht="12.75">
      <c r="A21" s="244" t="s">
        <v>545</v>
      </c>
      <c r="B21" s="244" t="s">
        <v>546</v>
      </c>
    </row>
    <row r="22" spans="1:2" ht="12.75">
      <c r="A22" s="246" t="s">
        <v>372</v>
      </c>
      <c r="B22" s="246" t="s">
        <v>373</v>
      </c>
    </row>
    <row r="23" spans="1:2" ht="12.75">
      <c r="A23" s="257" t="s">
        <v>387</v>
      </c>
      <c r="B23" s="257" t="s">
        <v>388</v>
      </c>
    </row>
    <row r="24" spans="1:2" ht="12.75">
      <c r="A24" s="243" t="s">
        <v>516</v>
      </c>
      <c r="B24" s="244" t="s">
        <v>517</v>
      </c>
    </row>
    <row r="25" spans="1:2" ht="12.75">
      <c r="A25" s="147" t="s">
        <v>263</v>
      </c>
      <c r="B25" s="148" t="s">
        <v>264</v>
      </c>
    </row>
    <row r="26" spans="1:4" ht="12.75">
      <c r="A26" s="37" t="s">
        <v>33</v>
      </c>
      <c r="B26" s="37" t="s">
        <v>70</v>
      </c>
      <c r="D26" s="18"/>
    </row>
    <row r="27" spans="1:2" ht="12.75">
      <c r="A27" s="37" t="s">
        <v>62</v>
      </c>
      <c r="B27" s="37" t="s">
        <v>71</v>
      </c>
    </row>
    <row r="28" spans="1:2" ht="12.75">
      <c r="A28" s="37" t="s">
        <v>111</v>
      </c>
      <c r="B28" s="37" t="s">
        <v>112</v>
      </c>
    </row>
    <row r="29" spans="1:2" ht="12.75">
      <c r="A29" s="257" t="s">
        <v>386</v>
      </c>
      <c r="B29" s="257" t="s">
        <v>173</v>
      </c>
    </row>
    <row r="30" spans="1:2" ht="12.75">
      <c r="A30" s="38" t="s">
        <v>192</v>
      </c>
      <c r="B30" s="38" t="s">
        <v>336</v>
      </c>
    </row>
    <row r="31" spans="1:2" ht="12.75">
      <c r="A31" s="149" t="s">
        <v>234</v>
      </c>
      <c r="B31" s="150" t="s">
        <v>235</v>
      </c>
    </row>
    <row r="32" spans="1:2" ht="12.75">
      <c r="A32" s="22" t="s">
        <v>160</v>
      </c>
      <c r="B32" s="36" t="s">
        <v>151</v>
      </c>
    </row>
    <row r="33" spans="1:2" ht="12.75">
      <c r="A33" s="22" t="s">
        <v>128</v>
      </c>
      <c r="B33" s="36" t="s">
        <v>126</v>
      </c>
    </row>
    <row r="34" spans="1:2" ht="12.75">
      <c r="A34" s="22" t="s">
        <v>129</v>
      </c>
      <c r="B34" s="36" t="s">
        <v>127</v>
      </c>
    </row>
    <row r="35" spans="1:2" ht="12.75">
      <c r="A35" s="22" t="s">
        <v>152</v>
      </c>
      <c r="B35" s="36" t="s">
        <v>153</v>
      </c>
    </row>
    <row r="36" spans="1:2" ht="12.75">
      <c r="A36" s="34" t="s">
        <v>154</v>
      </c>
      <c r="B36" s="42" t="s">
        <v>156</v>
      </c>
    </row>
    <row r="37" spans="1:2" ht="12.75">
      <c r="A37" s="34" t="s">
        <v>155</v>
      </c>
      <c r="B37" s="42" t="s">
        <v>157</v>
      </c>
    </row>
    <row r="38" spans="1:2" ht="12.75">
      <c r="A38" s="625" t="s">
        <v>530</v>
      </c>
      <c r="B38" s="625" t="s">
        <v>531</v>
      </c>
    </row>
    <row r="39" spans="1:2" ht="12.75">
      <c r="A39" s="626" t="s">
        <v>577</v>
      </c>
      <c r="B39" s="626" t="s">
        <v>578</v>
      </c>
    </row>
    <row r="40" spans="1:2" ht="21">
      <c r="A40" s="22" t="s">
        <v>244</v>
      </c>
      <c r="B40" s="36" t="s">
        <v>245</v>
      </c>
    </row>
    <row r="41" spans="1:2" ht="21">
      <c r="A41" s="43" t="s">
        <v>161</v>
      </c>
      <c r="B41" s="44" t="s">
        <v>163</v>
      </c>
    </row>
    <row r="42" spans="1:2" ht="12.75">
      <c r="A42" s="184" t="s">
        <v>165</v>
      </c>
      <c r="B42" s="185" t="s">
        <v>164</v>
      </c>
    </row>
    <row r="44" spans="1:2" ht="12.75">
      <c r="A44" s="241" t="s">
        <v>167</v>
      </c>
      <c r="B44" s="242" t="s">
        <v>350</v>
      </c>
    </row>
    <row r="45" spans="1:2" ht="12.75">
      <c r="A45" s="25" t="s">
        <v>166</v>
      </c>
      <c r="B45" s="41" t="s">
        <v>81</v>
      </c>
    </row>
    <row r="46" spans="1:2" ht="12.75">
      <c r="A46" s="239" t="s">
        <v>349</v>
      </c>
      <c r="B46" s="240" t="s">
        <v>337</v>
      </c>
    </row>
    <row r="47" spans="1:2" ht="12.75">
      <c r="A47" s="682" t="s">
        <v>610</v>
      </c>
      <c r="B47" s="683" t="s">
        <v>613</v>
      </c>
    </row>
    <row r="48" spans="1:2" ht="12.75">
      <c r="A48" s="682" t="s">
        <v>609</v>
      </c>
      <c r="B48" s="683" t="s">
        <v>614</v>
      </c>
    </row>
    <row r="49" spans="1:2" ht="12.75">
      <c r="A49" s="682" t="s">
        <v>611</v>
      </c>
      <c r="B49" s="683" t="s">
        <v>615</v>
      </c>
    </row>
    <row r="50" spans="1:2" ht="12.75">
      <c r="A50" s="682" t="s">
        <v>612</v>
      </c>
      <c r="B50" s="683" t="s">
        <v>616</v>
      </c>
    </row>
    <row r="51" spans="1:2" ht="12.75">
      <c r="A51" s="35" t="s">
        <v>63</v>
      </c>
      <c r="B51" s="35" t="s">
        <v>75</v>
      </c>
    </row>
    <row r="52" spans="1:2" ht="12.75">
      <c r="A52" s="37" t="s">
        <v>339</v>
      </c>
      <c r="B52" s="36" t="s">
        <v>338</v>
      </c>
    </row>
    <row r="53" spans="1:2" ht="12.75">
      <c r="A53" s="37" t="s">
        <v>270</v>
      </c>
      <c r="B53" s="36" t="s">
        <v>269</v>
      </c>
    </row>
    <row r="54" spans="1:2" ht="12.75">
      <c r="A54" s="37" t="s">
        <v>293</v>
      </c>
      <c r="B54" s="36" t="s">
        <v>340</v>
      </c>
    </row>
    <row r="55" spans="1:2" ht="12.75">
      <c r="A55" s="627" t="s">
        <v>592</v>
      </c>
      <c r="B55" s="627" t="s">
        <v>593</v>
      </c>
    </row>
    <row r="56" spans="1:2" ht="12.75">
      <c r="A56" s="37" t="s">
        <v>342</v>
      </c>
      <c r="B56" s="37" t="s">
        <v>341</v>
      </c>
    </row>
    <row r="57" spans="1:2" ht="12.75">
      <c r="A57" s="37" t="s">
        <v>265</v>
      </c>
      <c r="B57" s="37" t="s">
        <v>266</v>
      </c>
    </row>
    <row r="58" spans="1:2" ht="12.75">
      <c r="A58" s="37" t="s">
        <v>267</v>
      </c>
      <c r="B58" s="37" t="s">
        <v>268</v>
      </c>
    </row>
    <row r="59" spans="1:2" ht="12.75">
      <c r="A59" s="38" t="s">
        <v>196</v>
      </c>
      <c r="B59" s="38" t="s">
        <v>197</v>
      </c>
    </row>
    <row r="60" spans="1:2" ht="12.75">
      <c r="A60" s="35" t="s">
        <v>60</v>
      </c>
      <c r="B60" s="35" t="s">
        <v>72</v>
      </c>
    </row>
    <row r="61" spans="1:2" ht="12.75">
      <c r="A61" s="37" t="s">
        <v>316</v>
      </c>
      <c r="B61" s="37" t="s">
        <v>317</v>
      </c>
    </row>
    <row r="62" spans="1:2" ht="12.75">
      <c r="A62" s="37" t="s">
        <v>345</v>
      </c>
      <c r="B62" s="37" t="s">
        <v>343</v>
      </c>
    </row>
    <row r="63" spans="1:2" ht="12.75">
      <c r="A63" s="37" t="s">
        <v>346</v>
      </c>
      <c r="B63" s="37" t="s">
        <v>344</v>
      </c>
    </row>
    <row r="64" spans="1:2" ht="21">
      <c r="A64" s="37" t="s">
        <v>200</v>
      </c>
      <c r="B64" s="37" t="s">
        <v>223</v>
      </c>
    </row>
    <row r="65" spans="1:2" ht="12.75">
      <c r="A65" s="37" t="s">
        <v>548</v>
      </c>
      <c r="B65" s="37" t="s">
        <v>547</v>
      </c>
    </row>
    <row r="66" spans="1:2" ht="12.75">
      <c r="A66" s="70" t="s">
        <v>347</v>
      </c>
      <c r="B66" s="37" t="s">
        <v>224</v>
      </c>
    </row>
    <row r="67" spans="1:2" ht="12.75">
      <c r="A67" s="84" t="s">
        <v>348</v>
      </c>
      <c r="B67" s="38" t="s">
        <v>225</v>
      </c>
    </row>
    <row r="68" spans="1:2" ht="12.75">
      <c r="A68" s="40" t="s">
        <v>285</v>
      </c>
      <c r="B68" s="40" t="s">
        <v>284</v>
      </c>
    </row>
    <row r="69" spans="1:2" ht="12.75">
      <c r="A69" s="17" t="s">
        <v>109</v>
      </c>
      <c r="B69" s="17" t="s">
        <v>110</v>
      </c>
    </row>
    <row r="70" spans="1:2" ht="61.5">
      <c r="A70" s="344" t="s">
        <v>524</v>
      </c>
      <c r="B70" s="344" t="s">
        <v>525</v>
      </c>
    </row>
    <row r="71" spans="1:2" ht="21">
      <c r="A71" s="17" t="s">
        <v>514</v>
      </c>
      <c r="B71" s="17" t="s">
        <v>515</v>
      </c>
    </row>
    <row r="72" spans="1:2" ht="12.75">
      <c r="A72" s="18" t="s">
        <v>522</v>
      </c>
      <c r="B72" s="18" t="s">
        <v>523</v>
      </c>
    </row>
    <row r="73" spans="1:2" ht="12.75">
      <c r="A73" s="564" t="s">
        <v>582</v>
      </c>
      <c r="B73" s="564" t="s">
        <v>583</v>
      </c>
    </row>
    <row r="74" spans="1:2" ht="12.75">
      <c r="A74" s="564" t="s">
        <v>584</v>
      </c>
      <c r="B74" s="564" t="s">
        <v>585</v>
      </c>
    </row>
    <row r="75" spans="1:2" ht="30.75">
      <c r="A75" s="344" t="s">
        <v>560</v>
      </c>
      <c r="B75" s="344" t="s">
        <v>561</v>
      </c>
    </row>
    <row r="76" spans="1:2" ht="30.75">
      <c r="A76" s="344" t="s">
        <v>591</v>
      </c>
      <c r="B76" s="344" t="s">
        <v>590</v>
      </c>
    </row>
    <row r="78" ht="12.75">
      <c r="B78" s="638"/>
    </row>
  </sheetData>
  <sheetProtection password="CF11" sheet="1"/>
  <printOptions horizontalCentered="1"/>
  <pageMargins left="0.15748031496062992" right="0.15748031496062992" top="0.3937007874015748" bottom="0.7874015748031497" header="0.5118110236220472" footer="0.5118110236220472"/>
  <pageSetup cellComments="asDisplayed" horizontalDpi="600" verticalDpi="600" orientation="portrait" paperSize="9" r:id="rId1"/>
  <headerFooter alignWithMargins="0">
    <oddFooter>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SimNewPay</dc:title>
  <dc:subject>Pay Simulation</dc:subject>
  <dc:creator>J. Pastor</dc:creator>
  <cp:keywords/>
  <dc:description>PAY Simulation based on  May 2004 Statute</dc:description>
  <cp:lastModifiedBy>GUIZI Chryssoula (PMO)</cp:lastModifiedBy>
  <cp:lastPrinted>2013-12-24T08:33:41Z</cp:lastPrinted>
  <dcterms:created xsi:type="dcterms:W3CDTF">1999-11-18T18:10:05Z</dcterms:created>
  <dcterms:modified xsi:type="dcterms:W3CDTF">2023-03-10T09:03:58Z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2023-03-10T08:57:42Z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dc9a9695-1ea9-49a3-b516-46ab17158d40</vt:lpwstr>
  </property>
  <property fmtid="{D5CDD505-2E9C-101B-9397-08002B2CF9AE}" pid="9" name="MSIP_Label_6bd9ddd1-4d20-43f6-abfa-fc3c07406f94_ContentBits">
    <vt:lpwstr>0</vt:lpwstr>
  </property>
</Properties>
</file>